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D:\03.DU AN CONG TY\03.KHU CONG NGHIEP\TỔ TÍNH GIÁ\"/>
    </mc:Choice>
  </mc:AlternateContent>
  <xr:revisionPtr revIDLastSave="0" documentId="13_ncr:1_{96F2DBE6-0EDC-468A-B2FC-EA79F09C49DB}" xr6:coauthVersionLast="47" xr6:coauthVersionMax="47" xr10:uidLastSave="{00000000-0000-0000-0000-000000000000}"/>
  <bookViews>
    <workbookView xWindow="-120" yWindow="-120" windowWidth="29040" windowHeight="15840" xr2:uid="{00000000-000D-0000-FFFF-FFFF00000000}"/>
  </bookViews>
  <sheets>
    <sheet name="ms.Ánh" sheetId="44" r:id="rId1"/>
  </sheets>
  <externalReferences>
    <externalReference r:id="rId2"/>
  </externalReferences>
  <definedNames>
    <definedName name="_xlnm.Print_Titles" localSheetId="0">ms.Ánh!$3:$3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44" l="1"/>
  <c r="C11" i="44"/>
  <c r="C18" i="44"/>
  <c r="C31" i="44"/>
  <c r="C37" i="44"/>
  <c r="C41" i="44"/>
  <c r="C45" i="44"/>
  <c r="C52" i="44"/>
  <c r="C61" i="44"/>
  <c r="C78" i="44"/>
  <c r="C93" i="44"/>
  <c r="C94" i="44"/>
  <c r="C98" i="44"/>
  <c r="C100" i="44"/>
  <c r="C99" i="44" s="1"/>
  <c r="C101" i="44"/>
  <c r="C102" i="44"/>
  <c r="C103" i="44"/>
  <c r="C104" i="44"/>
  <c r="C105" i="44"/>
  <c r="C106" i="44"/>
  <c r="C108" i="44"/>
  <c r="C107" i="44" s="1"/>
  <c r="C109" i="44"/>
  <c r="C111" i="44"/>
  <c r="C113" i="44"/>
  <c r="C115" i="44"/>
  <c r="C116" i="44"/>
  <c r="C124" i="44"/>
  <c r="C125" i="44"/>
  <c r="C127" i="44"/>
  <c r="C114" i="44" l="1"/>
  <c r="C97" i="44" s="1"/>
  <c r="C95" i="44"/>
  <c r="C131" i="44"/>
  <c r="C130" i="44" s="1"/>
  <c r="C10" i="44"/>
  <c r="C4" i="44" s="1"/>
  <c r="C123" i="44"/>
  <c r="C122" i="44" s="1"/>
  <c r="C92" i="44"/>
  <c r="C91" i="44" s="1"/>
  <c r="E114" i="44"/>
  <c r="E107" i="44"/>
  <c r="E106" i="44"/>
  <c r="E105" i="44"/>
  <c r="E104" i="44"/>
  <c r="E103" i="44"/>
  <c r="E99" i="44"/>
  <c r="E98" i="44"/>
  <c r="E45" i="44"/>
  <c r="E129" i="44"/>
  <c r="E124" i="44"/>
  <c r="C121" i="44" l="1"/>
  <c r="C90" i="44"/>
  <c r="C133" i="44" s="1"/>
  <c r="G128" i="44"/>
  <c r="G127" i="44" s="1"/>
  <c r="E128" i="44"/>
  <c r="E125" i="44"/>
  <c r="G120" i="44"/>
  <c r="G113" i="44"/>
  <c r="E113" i="44"/>
  <c r="G112" i="44"/>
  <c r="E112" i="44"/>
  <c r="G111" i="44"/>
  <c r="E111" i="44"/>
  <c r="G110" i="44"/>
  <c r="E110" i="44"/>
  <c r="G105" i="44"/>
  <c r="G96" i="44"/>
  <c r="E96" i="44"/>
  <c r="E95" i="44"/>
  <c r="E94" i="44"/>
  <c r="G93" i="44"/>
  <c r="E93" i="44"/>
  <c r="E87" i="44"/>
  <c r="G86" i="44"/>
  <c r="E85" i="44"/>
  <c r="E78" i="44"/>
  <c r="E61" i="44"/>
  <c r="E52" i="44"/>
  <c r="E41" i="44"/>
  <c r="E37" i="44"/>
  <c r="E31" i="44"/>
  <c r="E11" i="44"/>
  <c r="E7" i="44"/>
  <c r="G5" i="44"/>
  <c r="E97" i="44" l="1"/>
  <c r="G98" i="44"/>
  <c r="G95" i="44"/>
  <c r="E6" i="44"/>
  <c r="G6" i="44" s="1"/>
  <c r="G87" i="44"/>
  <c r="G125" i="44"/>
  <c r="G85" i="44"/>
  <c r="G107" i="44"/>
  <c r="E123" i="44"/>
  <c r="E126" i="44" s="1"/>
  <c r="E127" i="44"/>
  <c r="E130" i="44" s="1"/>
  <c r="G124" i="44"/>
  <c r="G99" i="44"/>
  <c r="G103" i="44"/>
  <c r="G106" i="44"/>
  <c r="E10" i="44"/>
  <c r="G10" i="44" s="1"/>
  <c r="E92" i="44"/>
  <c r="G94" i="44"/>
  <c r="G92" i="44" s="1"/>
  <c r="G114" i="44" l="1"/>
  <c r="G97" i="44" s="1"/>
  <c r="G123" i="44"/>
  <c r="G126" i="44" s="1"/>
  <c r="G122" i="44" s="1"/>
  <c r="G131" i="44" s="1"/>
  <c r="G91" i="44"/>
  <c r="E122" i="44"/>
  <c r="E131" i="44" s="1"/>
  <c r="E91" i="44"/>
  <c r="G4" i="44"/>
  <c r="E4" i="44"/>
  <c r="G118" i="44" l="1"/>
  <c r="G119" i="44" s="1"/>
  <c r="G117" i="44" s="1"/>
  <c r="G90" i="44" s="1"/>
  <c r="E132" i="44"/>
  <c r="E121" i="44" s="1"/>
  <c r="G132" i="44"/>
  <c r="G130" i="44" s="1"/>
  <c r="G121" i="44" s="1"/>
  <c r="E118" i="44" l="1"/>
  <c r="E119" i="44" s="1"/>
  <c r="E117" i="44" s="1"/>
  <c r="E90" i="44" s="1"/>
  <c r="E133" i="44" s="1"/>
  <c r="G133" i="4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Se7ven</author>
  </authors>
  <commentList>
    <comment ref="C9" authorId="0" shapeId="0" xr:uid="{D5A86A2C-7471-481B-B33B-986914D89C7F}">
      <text>
        <r>
          <rPr>
            <b/>
            <sz val="8"/>
            <color indexed="81"/>
            <rFont val="Tahoma"/>
            <family val="2"/>
          </rPr>
          <t>Se7ven:</t>
        </r>
        <r>
          <rPr>
            <sz val="8"/>
            <color indexed="81"/>
            <rFont val="Tahoma"/>
            <family val="2"/>
          </rPr>
          <t xml:space="preserve">
20tr: chi BBT theo HD
50tr: PC 112, 04/02/05
65.7tr: PC 769(09), 05/01/06
30tr: PC 267, 12/3/04
69,8792tr: PC 449, 29/7/05
</t>
        </r>
      </text>
    </comment>
    <comment ref="C95" authorId="0" shapeId="0" xr:uid="{0645F832-8DC5-47BA-B932-57EC7C3E8214}">
      <text>
        <r>
          <rPr>
            <b/>
            <sz val="8"/>
            <color indexed="81"/>
            <rFont val="Tahoma"/>
            <family val="2"/>
          </rPr>
          <t>Se7ven:</t>
        </r>
        <r>
          <rPr>
            <sz val="8"/>
            <color indexed="81"/>
            <rFont val="Tahoma"/>
            <family val="2"/>
          </rPr>
          <t xml:space="preserve">
trong đó có 167.845.992.000 * 2% = 3.356.919.840 là kinh phí phục vụ bồi thường của cty tính từ 16/6/09 trở về trước</t>
        </r>
      </text>
    </comment>
  </commentList>
</comments>
</file>

<file path=xl/sharedStrings.xml><?xml version="1.0" encoding="utf-8"?>
<sst xmlns="http://schemas.openxmlformats.org/spreadsheetml/2006/main" count="296" uniqueCount="243">
  <si>
    <t>Nội dung chi phí</t>
  </si>
  <si>
    <t>Chi phí đền bù đất công</t>
  </si>
  <si>
    <t>Chi phí Ban bồi thường</t>
  </si>
  <si>
    <t>Hệ thống thoát nước mưa, nước bẩn</t>
  </si>
  <si>
    <t>Hệ thống chiếu sáng</t>
  </si>
  <si>
    <t>I</t>
  </si>
  <si>
    <t>II</t>
  </si>
  <si>
    <t>III</t>
  </si>
  <si>
    <t xml:space="preserve">Hệ thống cấp nước </t>
  </si>
  <si>
    <t>IV</t>
  </si>
  <si>
    <t>V</t>
  </si>
  <si>
    <t>VI</t>
  </si>
  <si>
    <t>Trồng cây xanh</t>
  </si>
  <si>
    <t>Chi phí bồi thường</t>
  </si>
  <si>
    <t>Tường rào Cty Hải Đức</t>
  </si>
  <si>
    <t>Tường rào đất bà Trần Thị Lệ</t>
  </si>
  <si>
    <t>Đường công vụ + trong lô + công viên</t>
  </si>
  <si>
    <t>San lấp bổ sung</t>
  </si>
  <si>
    <t>San lấp lô A1</t>
  </si>
  <si>
    <t>San lấp bổ sung trong lô</t>
  </si>
  <si>
    <t>Giao thông GĐ1, đợt 1</t>
  </si>
  <si>
    <t>Giao thông GĐ1, đợt 2</t>
  </si>
  <si>
    <t>Giao thông thoát nước K1 nối dài</t>
  </si>
  <si>
    <t>San lấp trong lô</t>
  </si>
  <si>
    <t>San lấp công viên</t>
  </si>
  <si>
    <t>DT 309-1/QĐ-CI.2 21/3/2017</t>
  </si>
  <si>
    <t>Thoát nước mưa, thoát nước bẩn, thoát nước bẩn bổ sung</t>
  </si>
  <si>
    <t>Thoát nước bẩn bổ sung</t>
  </si>
  <si>
    <t>Giao thông thoát nước mưa C4</t>
  </si>
  <si>
    <t>HT cấp nước</t>
  </si>
  <si>
    <t>Ống cấp nước bổ sung đường K1 nối dài</t>
  </si>
  <si>
    <t>HT cấp nước cuối đường B đến C3</t>
  </si>
  <si>
    <t>Cầu tạm</t>
  </si>
  <si>
    <t>Đảm bảo giao thông cầu tạm</t>
  </si>
  <si>
    <t>Khảo sát địa chất cầu tạm</t>
  </si>
  <si>
    <t>Kiểm định cầu tạm</t>
  </si>
  <si>
    <t>Duy tu cầu tạm</t>
  </si>
  <si>
    <t>Sửa chữa đường trước Cty Quang Diệu</t>
  </si>
  <si>
    <t>QT: 1644/QĐ-CI.2 01/11/2017</t>
  </si>
  <si>
    <t>Duy tu đường D2, D1</t>
  </si>
  <si>
    <t>Sửa chữa đường D1, D2</t>
  </si>
  <si>
    <t>Đường nội bộ trước E3, E4</t>
  </si>
  <si>
    <t>Duy tu đường tạm từ K1 đến bãi số 6</t>
  </si>
  <si>
    <t>Hệ thống dẫn nước thải từ GĐ2 về GĐ1 + trạm bơm</t>
  </si>
  <si>
    <t>QT 1037/QĐ-PTN-ĐTPT 08/8/2006</t>
  </si>
  <si>
    <t>QT 88/QĐ-PTN 25/1/2010</t>
  </si>
  <si>
    <t>QT 114/QĐ-CI.2 25/1/2011</t>
  </si>
  <si>
    <t>DT 1084/QĐ-PTN-ĐTPT 25/10/2007</t>
  </si>
  <si>
    <t>QT: 1304/QĐ-PTN 18/9/2009</t>
  </si>
  <si>
    <t>QT: 1115/QĐ-PTN 30/7/2010</t>
  </si>
  <si>
    <t>QT: 696/QĐ-PTN 27/5/2009</t>
  </si>
  <si>
    <t>QT: 1645/QĐ-PTN 21/10/2010</t>
  </si>
  <si>
    <t>QT: 1326/QĐ-PTN 25/9/2009</t>
  </si>
  <si>
    <t>QT: 1648/QĐ-PTN 21/10/2010</t>
  </si>
  <si>
    <t>DT: 1067/QĐ-PTN-ĐTPT 17/8/2006</t>
  </si>
  <si>
    <t>DT: 1564/QĐ-CI.2 23/8/2012</t>
  </si>
  <si>
    <t>QT: 130/QĐ-PTN-QLDA 24/2/2009</t>
  </si>
  <si>
    <t>QT: 548/QĐ-PTN-ĐTPT 22/5/2006</t>
  </si>
  <si>
    <t>QT: 1616/QĐ-PTN 30/11/2009</t>
  </si>
  <si>
    <t>QT: 1602/QĐ-PTN 24/11/2009</t>
  </si>
  <si>
    <t>QT: 1465A/QĐ-PTN 14/10/2009</t>
  </si>
  <si>
    <t>DT: 949/QĐ-PTN 7/9/2007</t>
  </si>
  <si>
    <t>QT: 1119/QĐ-PTN-QLDA 28/10/2008</t>
  </si>
  <si>
    <t>QT: 1523/QĐ-PTN 12/10/2010</t>
  </si>
  <si>
    <t>QT: 87/QĐ-PTN 25/01/2010</t>
  </si>
  <si>
    <t>QT: 930/QĐ-CI.2 23/6/2015</t>
  </si>
  <si>
    <t>QT: 490/QĐ-PTN 08/4/2009</t>
  </si>
  <si>
    <t>QT: 616/QĐ-CI.2 26/4/2013</t>
  </si>
  <si>
    <t>QT: 129/QĐ-PTN-QLDA 24/2/2009</t>
  </si>
  <si>
    <t>-</t>
  </si>
  <si>
    <t>Dự phòng cho yếu tố công việc phát sinh</t>
  </si>
  <si>
    <t>Dự phòng cho yếu tố trượt giá</t>
  </si>
  <si>
    <t>QT: 1567/QĐ-CI.2 11/11/2014</t>
  </si>
  <si>
    <t>DT: 1065/QĐ-PTN-ĐTPT 17/8/2006</t>
  </si>
  <si>
    <t>QT: 1794/QĐ-CI.2 28/11/2017</t>
  </si>
  <si>
    <t>Duy tu đườngK1, C2, C3</t>
  </si>
  <si>
    <t>QT: 1883/QĐ-CI.2 08/12/2017</t>
  </si>
  <si>
    <t>QT: 235/QĐ-CI.2 26/2/2018</t>
  </si>
  <si>
    <t>QT: 1642/QĐ-CI.2 21/9/2018</t>
  </si>
  <si>
    <t>QT 796/QĐ-CI.2 9/6/2022</t>
  </si>
  <si>
    <t>QT: 911/QĐ-CI.2 28/6/2021</t>
  </si>
  <si>
    <t>- Tạm tính chi phí trồng cây xanh lề đường C2, K1 nối dài (năm 2022): 300.000.000đ; trượt giá trong 03 năm là 30%</t>
  </si>
  <si>
    <t>Tạm tính bằng 5% chi phí còn phải thực hiện (trừ phần hợp tác kinh doanh không tính dự phòng)</t>
  </si>
  <si>
    <t>- Thời gian thi công dự kiến 01 năm, trượt giá tạm tính 5%</t>
  </si>
  <si>
    <t>- Quy mô: 2 cầu song song, mỗi cầu rộng 13.25m, dài 3*24.5m.
- Suất đầu tư năm 2021 (QĐ 610/QĐ-BXD ngày 13/7/2022): 29.526.000đ/m2
- Chỉ số giá xây dựng công trình cầu liên tục nhiều nhịp tăng 20.5% trong 2 năm 2020-2022 (QĐ số 58/QĐ-SXD-KTXD ngày 12/01/2023) =&gt; Trượt giá trong 03 năm là 30.8%</t>
  </si>
  <si>
    <t>- Suất đầu tư năm 2021 (QĐ 610/QĐ-BXD ngày 13/7/2022): 19.882.000đ/m2
- Chỉ số giá xây dựng công trình mạng thoát nước tăng 17.3% trong 2 năm 2020-2022 (QĐ số 58/QĐ-SXD-KTXD ngày 12/01/2023) =&gt; Công trình dự kiến thi công vào năm 2024, tính trượt giá trong 02 năm là 17.3%</t>
  </si>
  <si>
    <t>Chi phí đã bồi thường</t>
  </si>
  <si>
    <t>Chi phí còn phải bồi thường</t>
  </si>
  <si>
    <t>San lấp</t>
  </si>
  <si>
    <t>- Diện tích đã bồi thường: 1,7ha
- Đơn giá bình quân: 330.000đ/m2</t>
  </si>
  <si>
    <t>- Diện tích đã bồi thường: 1,17ha
- Đơn giá dự kiến: 3.000.000đ/m2</t>
  </si>
  <si>
    <t>- Diện tích đã bồi thường: 17.181m2
- Đơn giá lấy theo đơn giá cao nhất (hồ sơ của ông Lê Văn Bửu): 603.609đ/m2</t>
  </si>
  <si>
    <t>Dự toán</t>
  </si>
  <si>
    <t>10% còn phải thực hiện</t>
  </si>
  <si>
    <t>- Chỉ số giá xây dựng công trình giao thông tăng 17% trong 2 năm 2020-2022 (QĐ số 58/QĐ-SXD-KTXD ngày 12/01/2023) =&gt; Công trình dự kiến thi công vào năm 2025, tính trượt giá trong 03 năm là 25.5%</t>
  </si>
  <si>
    <t>Tạm tính bằng 5% chi phí còn phải thực hiện</t>
  </si>
  <si>
    <t>CSCX 2009</t>
  </si>
  <si>
    <t>QT: 888/QĐ-CI.2 09/6/2011</t>
  </si>
  <si>
    <t>CSCX 2010</t>
  </si>
  <si>
    <t>QT: 1157/QĐ-CI.2 15/7/2011</t>
  </si>
  <si>
    <t>CSCX 2011</t>
  </si>
  <si>
    <t>QT: 1471/QĐ-CI.2 7/8/2012</t>
  </si>
  <si>
    <t>CSCX 2012</t>
  </si>
  <si>
    <t>QT: 1340/QĐ-CI.2 23/7/2013</t>
  </si>
  <si>
    <t>CSCX 2013</t>
  </si>
  <si>
    <t>QT: 404/QĐ-CI.2 3/4/2014</t>
  </si>
  <si>
    <t>CSCX 2014</t>
  </si>
  <si>
    <t>QT: 215/QĐ-CI.2 9/2/2015</t>
  </si>
  <si>
    <t>CSCX 2015</t>
  </si>
  <si>
    <t>QT: 1579/QĐ-CI.2 6/10/2016</t>
  </si>
  <si>
    <t>CSCX 2016</t>
  </si>
  <si>
    <t>QT: 580/QĐ-CI.2 9/5/2017</t>
  </si>
  <si>
    <t>CSCX 2017</t>
  </si>
  <si>
    <t>QT: 1456/QĐ-CI.2 29/8/2018</t>
  </si>
  <si>
    <t>CSCX 2018</t>
  </si>
  <si>
    <t>QT: 841/QĐ-CI.2 10/7/2019</t>
  </si>
  <si>
    <t>CSCX 2019</t>
  </si>
  <si>
    <t>QT: 389/QĐ-CI.2 01/4/2020</t>
  </si>
  <si>
    <t>CSCX 2020</t>
  </si>
  <si>
    <t>QT: 501/QĐ-CI.2 7/4/2021</t>
  </si>
  <si>
    <t>CSCX 2021</t>
  </si>
  <si>
    <t>QT: 543/QĐ-CI.2 21/4/2022</t>
  </si>
  <si>
    <t>CSCX 2022</t>
  </si>
  <si>
    <t>Tham khảo Tổng mức đầu tư điều chỉnh do Công ty tư vấn xây dựng Kiến Gia thực hiện (Báo cáo thẩm định tháng 4/2022)</t>
  </si>
  <si>
    <t>STT</t>
  </si>
  <si>
    <t>Giá trị dự kiến tại thời điểm hiện tại (năm 2023)</t>
  </si>
  <si>
    <t>A</t>
  </si>
  <si>
    <t>KINH PHÍ ĐÃ ĐẦU TƯ</t>
  </si>
  <si>
    <t>CHI PHÍ CHUẨN BỊ ĐẦU TƯ</t>
  </si>
  <si>
    <t>Số thực chi của Phòng Tài chính Kế toán (Báo cáo số 08/BC-TCKT ngày 03/5/2023): Lập dự án 363.115.382; Quy hoạch 750.884.545; ĐTM 207.765.000; Khảo sát thiết kế 31.162.857; Đo đạc 1.966.077.539</t>
  </si>
  <si>
    <t>CHI PHÍ VỀ ĐẤT</t>
  </si>
  <si>
    <t>Chi phí đền bù</t>
  </si>
  <si>
    <t>Văn bản 1599/UBND-TNMT ngày 15/4/2016</t>
  </si>
  <si>
    <t>- Số thực chi của Phòng Tài chính Kế toán
(Báo cáo số 08/BC-TCKT ngày 03/5/2023): 224.829.125.000
- Trừ chi phí bồi thường khu 12.2ha: 28.138.987.400 (theo file theo dõi bồi thường của anh Tuyên)
=&gt; Chi bồi thường cho dự án (theo số liệu của P.Kế toán và P.ĐTPT theo dõi: 196,690,137,600. Tuy nhiên, số liệu này mang tính tham khảo, không có pháp lý chứng minh =&gt; Lấy theo VB 1599/UBND-TNMT ngày 15/4/2016</t>
  </si>
  <si>
    <t>Giá trị 2 tỷ đồng là nộp cho hồ sơ ông Khoác tại GĐ1</t>
  </si>
  <si>
    <t>Chi phí phục vụ bồi thường</t>
  </si>
  <si>
    <t>Số thực chi của Phòng Tài chính Kế toán
(Báo cáo số 08/BC-TCKT ngày 03/5/2023)</t>
  </si>
  <si>
    <t>CHI PHÍ ĐẦU TƯ HTKT</t>
  </si>
  <si>
    <t xml:space="preserve">San lấp </t>
  </si>
  <si>
    <t>Đang quyết toán</t>
  </si>
  <si>
    <t xml:space="preserve">San lấp bù lún bổ sung cho các doanh nghiệp </t>
  </si>
  <si>
    <t xml:space="preserve">Hệ thống giao thông </t>
  </si>
  <si>
    <t>đã QT</t>
  </si>
  <si>
    <t>QT: 775/QĐ-CI.2 12/6/2018</t>
  </si>
  <si>
    <t>Đã hoàn thành, chưa QT, lấy số DT</t>
  </si>
  <si>
    <t>Cầu Kỳ Hà và đường dẫn</t>
  </si>
  <si>
    <t>Số thực chi + số đã QT</t>
  </si>
  <si>
    <t>KS, lập DT</t>
  </si>
  <si>
    <t>Giám sát</t>
  </si>
  <si>
    <t>Thi công</t>
  </si>
  <si>
    <t>Bảo hiểm</t>
  </si>
  <si>
    <t>Đảm bảo an toàn GTT</t>
  </si>
  <si>
    <t>KS hiện trạng và đánh giá sự cố</t>
  </si>
  <si>
    <t>Cầu tạm + Đảm bảo giao thông</t>
  </si>
  <si>
    <t>Di dời 1 phần đường dây cao thế</t>
  </si>
  <si>
    <t>XD đường vào, vỉa hè và trồng cây trước lô đất của trụ sở CS PCCC</t>
  </si>
  <si>
    <t>Chăm sóc cây xanh từ 2008-2021</t>
  </si>
  <si>
    <t>Nạo vét hệ thống thoát nước mưa, nước thải</t>
  </si>
  <si>
    <t xml:space="preserve">Trạm biến áp 3x25Kva và lưới điện hạ thế cấp cho trạm bơm nước thải </t>
  </si>
  <si>
    <t>Các hạng mục hạ tầng kỹ thuật khác (hàng rào+ bó vỉa + sơn phân làn + sửa chữa đường)</t>
  </si>
  <si>
    <t>Văn phòng Đảng ủy- Công đoàn - Đoàn thanh niên</t>
  </si>
  <si>
    <t>QT: 1182/QĐ-CI.2 02/10/2019</t>
  </si>
  <si>
    <t>LÃI VAY NGÂN HÀNG + CHI PHÍ TÀI CHÍNH</t>
  </si>
  <si>
    <t>TIỀN SỬ DỤNG ĐẤT + THUẾ TRƯỚC BẠ</t>
  </si>
  <si>
    <t>CHI PHÍ KIẾN THIẾT CƠ BẢN KHÁC</t>
  </si>
  <si>
    <t>B</t>
  </si>
  <si>
    <t>KINH PHÍ CÒN PHẢI ĐẦU TƯ</t>
  </si>
  <si>
    <t>- Chi bồi thường khoảng hở</t>
  </si>
  <si>
    <t>tương ứng diện tích: 0,3748 ha, đơn giá 5,000,000đ/m2</t>
  </si>
  <si>
    <t>- Giá trị bồi thường của phần đất hợp tác đầu tư</t>
  </si>
  <si>
    <t>tương ứng diện tích: 6.28ha, đơn giá 440.000 đ/m2</t>
  </si>
  <si>
    <t>Chi phí phục vụ bồi thường (2%)</t>
  </si>
  <si>
    <t>theo quy định tại Điều 48 Nghị định 197/2004/NĐ-CP ngày 03/12/04; Điều 31 Nghị định số 47/2014/NĐ-CP ngày 15/5/14; Điều 47 Quyết định số 23/2015/QĐ-UBND ngày 15/5/15 của UBND TPHCM</t>
  </si>
  <si>
    <t>- Giá trị đã bồi thường của dự án: (Báo cáo số 08/BC-TCKT ngày 03/5/2023): 224,829,125,000, trừ khu 12,2ha 28.138.987.400
- Giá trị còn phải bồi thường khoảng hở: 22,973,125,000
- Chi phí thực hiện bồi thường: 2%*(224,829,125,000-28,138,987,400+22,973,125,000)
- Trừ phần đã chi: 355.065.633</t>
  </si>
  <si>
    <t>Chi phí bồi thường đất công</t>
  </si>
  <si>
    <t>VB 5137/UBND-TNMT ngày 15/12/2017 xác nhận diện tích đất công là 30.165,6 m2, số tiến trên tạm tính theo PA BT</t>
  </si>
  <si>
    <t>- Diện tích đất công là 30.165,6 m2 (VB số 5137/UBND-TNMT ngày 15/12/2017, đất rạch: 25.615m2, đất đường đi 4.550,6m2)
- Đơn giá tạm tính theo phương án bồi thường được duyệt theo QĐ 3309/QĐ-UB ngày 30/6/2004: đất biền, kênh rạch: 150.000đ/m2, đất đường đi, bờ đê: 200.000đ/m2</t>
  </si>
  <si>
    <t>CHI PHÍ ĐẦU TƯ HTKT
(đã bao gồm VAT + KTCB)</t>
  </si>
  <si>
    <t>San lấp giao thông và công viên phần còn lại.</t>
  </si>
  <si>
    <t>Hoàn thiện đường trục chính nội bộ (thảm nhựa + đoạn đấu nối)</t>
  </si>
  <si>
    <t>Đường 6m</t>
  </si>
  <si>
    <t>Vỉa hè</t>
  </si>
  <si>
    <t>Hệ thống thoát nước mưa</t>
  </si>
  <si>
    <t>Hệ thống thoát nước thải + trạm bơm</t>
  </si>
  <si>
    <t>Hệ thống cấp nước bổ sung + hệ thống PCCC</t>
  </si>
  <si>
    <t>tạm tính</t>
  </si>
  <si>
    <t xml:space="preserve"> Chi phí trồng cỏ + cây xanh + chiếu sáng trong công viên</t>
  </si>
  <si>
    <t xml:space="preserve"> - Chi phí đầu tư HTKT  + công trình phục vụ</t>
  </si>
  <si>
    <t>Cây xanh lề đường (C2, K1 nối dài)</t>
  </si>
  <si>
    <t>Nhà máy xử lý nước thải 2.000 m3/ngày đêm</t>
  </si>
  <si>
    <t>Xe PCCC</t>
  </si>
  <si>
    <t>- Giá năm 2023 xe chữa cháy phun bọt nước Hino Fg Hff - 50: 4.900.000.000đ
- Dụng cụ chữa cháy (tạm tính): 200.000.000đ
- Chi phí tư vấn: 5%
- Chỉ số giá tiêu dùng năm 2022 tăng 3.15% =&gt; Trượt giá trong 02 năm là 6.3%
- Xin ý kiến Giám đốc và các phòng liên quan về khả năng đầu tư hạng mục này</t>
  </si>
  <si>
    <t>Cầu mới (02 cầu, 03 nhịp x 24.5m, rộng 13.25m)</t>
  </si>
  <si>
    <t>Suất đầu tư 65/QĐ-BXD ngày 20/1/2021</t>
  </si>
  <si>
    <t xml:space="preserve">- 360m Bờ kè kết cấu cọc DƯL </t>
  </si>
  <si>
    <t>- 1050 m bờ kè cừ dừa rọ đá</t>
  </si>
  <si>
    <t>DỰ PHÒNG PHÍ</t>
  </si>
  <si>
    <t>10% còn phải thực hiện (trừ phần hợp tác kinh doanh không tính dự phòng)</t>
  </si>
  <si>
    <t>Dự phòng khối lượng</t>
  </si>
  <si>
    <t>Dự phòng trượt giá</t>
  </si>
  <si>
    <t>Xem ghi chú</t>
  </si>
  <si>
    <t>TIỀN SỬ DỤNG ĐẤT</t>
  </si>
  <si>
    <t>Số thực chi của Phòng Tài chính Kế toán (Báo cáo số 08/BC-TCKT ngày 03/5/2023): Tiền thuê đất được miễn giảm từ năm 2016 đến 2020 là 34,398,467,310 đồng (căn cứ QĐ 1020/QĐ-CT ngày 07/3/2016 miễn tiền thuê đất 11 năm. Tuy nhiên, ngày 29/12/2020, Cục thuế TP.HCM ban hành QĐ số 5693/QĐ-CT về thu hồi, hủy bỏ QĐ 1020/QĐ-CT</t>
  </si>
  <si>
    <t>C</t>
  </si>
  <si>
    <t>KINH PHÍ BỒI THƯỜNG VÀ ĐẦU TƯ HẠ TẦNG KỸ THUẬT KHU NHÀ LƯU TRÚ CÔNG NHÂN 2,87HA</t>
  </si>
  <si>
    <t>- Diện tích còn phải bồi thường: 28,700-17181=11.519m2
- Giá đất tính bồi thường: 250,000*20=5,000,000 đ/m2 (Căn cứ Quyết định số 02/2020/QĐ-UBND ngày 16/01/2020 và Quyết định số 10/2021/QĐ-UBND ngày 04/5/2021, áp dụng Đất nông nghiệp ngoài khu dân cư)</t>
  </si>
  <si>
    <t>2% chi phí bồi thường</t>
  </si>
  <si>
    <t>CHI PHÍ ĐẦU TƯ HẠ TẦNG KỸ THUẬT</t>
  </si>
  <si>
    <t>TỔNG CỘNG</t>
  </si>
  <si>
    <t>Hạ tầng kỹ thuật (không bao gồm san lấp)</t>
  </si>
  <si>
    <t>- Suất đầu tư năm 2021 (QĐ 610/QĐ-BXD ngày 13/7/2022): 9.535.000.000đ/ha
- Chỉ số giá tiêu dùng năm 2022 tăng 3.15% =&gt; Trượt giá trong 03 năm là 9.45%. Chi phí hạ tầng kỹ thuật: 29,993,229,255
- Tỷ trọng chi phí thực hiện các hạng mục hạ tầng kỹ thuật (không bao gồm san lấp) chiếm 68% chi phí thực hiện các hạng mục hạ tầng kỹ thuật
=&gt; Chi phí tính toán = 68% * 29,993,229,255 = 20.395.395.893 đồng</t>
  </si>
  <si>
    <t>QT: 712/QĐ-CI.2 16/05/2023</t>
  </si>
  <si>
    <t>Số thực chi của Phòng Tài chính Kế toán từ năm 2006-2016: 16,308,985,581 (Báo cáo số 08/BC-TCKT ngày 03/5/2023)</t>
  </si>
  <si>
    <t>- Theo kết luận thanh tra số 845/KL-TTTP-P.3, Công ty đã ký thỏa thuận với 12 doanh nghiệp về việc san lấp bù lún với tổng số tiền 8.440.032.900. Tuy nhiên, chỉ có 01 doanh nghiệp (Công ty Sài Gòn 9) có thỏa thuận về cao độ mặt bằng san lấp bù lún trong HĐ nguyên tắc. Do đó, "việc Công ty CI.2 đồng ý cho 11 doanh nghiệp được cấn trừ tiền san lấp mặt bằng bổ sung vào tiền thuê đất là không có cơ sở"
- Thực tế, Công ty cũng không phê duyệt dự toán, không có hồ sơ quản lý chất lượng đối với phần kinh phí san lấp 8,440,032,900đ này,
- Do đó, khoản chi phí này sẽ đưa vào chi phí để tính giá</t>
  </si>
  <si>
    <t>Cty TNHH SXTM Thanh Danh (F1)</t>
  </si>
  <si>
    <t>Cty CP Liên Trang (A6)</t>
  </si>
  <si>
    <t>HTX Vận tải - Cơ giới - Xếp dỡ Đại Thành (D2)</t>
  </si>
  <si>
    <t>Cty TNHH Cao Dương (G1)</t>
  </si>
  <si>
    <t>Cty CP TMDV Đất Mới (B2, E7)</t>
  </si>
  <si>
    <t>Cty TNHH XD-TM Tân Tạo (E4, A3)</t>
  </si>
  <si>
    <t>Trung tâm KT-TC-DL-CL 3 (C5)</t>
  </si>
  <si>
    <t>Cty TNHH XD&amp;TM Sài Gòn 9 (G2)</t>
  </si>
  <si>
    <t>Cty TNHH SX-TM&amp;DV TTNT Hoàn Cầu (B4)</t>
  </si>
  <si>
    <t>Cty TNHH Tâm An (D1)</t>
  </si>
  <si>
    <t>Cty TNHH Quang Diệu Sài Gòn (C3)</t>
  </si>
  <si>
    <t>Cty CP Tập Đoàn Tân Thành Đô (F3)</t>
  </si>
  <si>
    <t>- Diện tích trong ranh: 3.675,7m2
- Giá đất tính bồi thường: 250,000*25=6.250.000 đ/m2 (Căn cứ Quyết định số 02/2020/QĐ-UBND ngày 16/01/2020 và Quyết định số 10/2021/QĐ-UBND ngày 04/5/2021)</t>
  </si>
  <si>
    <t>số liệu P.TCKT cung cấp</t>
  </si>
  <si>
    <t>- Diện tích hợp tác của 3 Cty Vinh Hằng, Tân Tạo và Hiệp Phúc là 62,793m2.
- Đơn giá 440.000đ/m2, xác định theo Văn bản số 6972/UBND-ĐTMT ngày 13/11/2015 của UBND Tp.HCM trên cơ sở đề nghị của Hepza tại Văn bản số 2360/BQL-P.QLDA ngày 20/8/2015, số 3748/BQL-P.QLDA ngày 26/12/2014, của Sở TNMT tại Văn bản số 3876/TNMT-QLSDĐ ngày 12/6/2015, của Thanh tra thành phố tại Văn bản số 522/TTTP-P.3 ngày 23/10/2015</t>
  </si>
  <si>
    <t>- Tham khảo Khái toán hạng mục do Công ty TVXD Kiến Gia lập và được thẩm định tháng 4/2022: 28.701.297.326đ
- Chỉ số giá xây dựng công trình giao thông tăng 17% trong 2 năm 2020-2022 (QĐ số 58/QĐ-SXD-KTXD ngày 12/01/2023) =&gt; Trượt giá trong 03 năm là 25.5%</t>
  </si>
  <si>
    <t>- Tham khảo Khái toán hạng mục do Công ty TVXD Kiến Gia lập và được thẩm định tháng 4/2022: 58.624.716.100đ
- Chỉ số giá xây dựng công trình giao thông tăng 17% trong 2 năm 2020-2022 (QĐ số 58/QĐ-SXD-KTXD ngày 12/01/2023) =&gt; Trượt giá trong 03 năm là 25.5%</t>
  </si>
  <si>
    <t>- Tham khảo Khái toán hạng mục do Công ty TVXD Kiến Gia lập và được thẩm định tháng 4/2022: 5.812.787.700đ
- Chỉ số giá xây dựng công trình mạng thoát nước tăng 17,3% trong 2 năm 2020-2022 (QĐ số 58/QĐ-SXD-KTXD ngày 12/01/2023) =&gt; Trượt giá trong 03 năm là 26.0%</t>
  </si>
  <si>
    <t>- Tham khảo Khái toán hạng mục do Công ty TVXD Kiến Gia lập và được thẩm định tháng 4/2022: 8.666.169.550đ
- Chỉ số giá xây dựng công trình mạng thoát nước tăng 17,3% trong 2 năm 2020-2022 (QĐ số 58/QĐ-SXD-KTXD ngày 12/01/2023) =&gt; Trượt giá trong 03 năm là 26.0%</t>
  </si>
  <si>
    <t>- Tham khảo Khái toán hạng mục do Công ty TVXD Kiến Gia lập và được thẩm định tháng 4/2022: 783.005.100đ
- Chỉ số giá xây dựng công trình mạng cấp nước tăng 26.7% trong 2 năm 2020-2022 (QĐ số 58/QĐ-SXD-KTXD ngày 12/01/2023) =&gt; Trượt giá trong 03 năm là 40.1%</t>
  </si>
  <si>
    <t>- Tham khảo Khái toán hạng mục do Công ty TVXD Kiến Gia lập và được thẩm định tháng 4/2022: 13.577.220.850đ
- Chỉ số giá xây dựng công trình chiếu sáng tăng 26.8% trong 2 năm 2020-2022 (QĐ số 58/QĐ-SXD-KTXD ngày 12/01/2023) =&gt; Trượt giá trong 03 năm là 40.2%</t>
  </si>
  <si>
    <t>- Tham khảo Khái toán hạng mục do Công ty TVXD Kiến Gia lập và được thẩm định tháng 4/2022: 23.185.405.254đ
- Chỉ số giá tiêu dùng năm 2022 tăng 3.15% =&gt; Trượt giá trong 03 năm là 9.45%</t>
  </si>
  <si>
    <t>- Tham khảo Khái toán hạng mục do Công ty TVXD Kiến Gia lập và được thẩm định tháng 4/2022: 52.058.325.350đ
- Chỉ số giá xây dựng công trình bờ bao các loại tăng 20% trong 2 năm 2020-2022 (QĐ số 58/QĐ-SXD-KTXD ngày 12/01/2023) =&gt; Trượt giá trong 03 năm là 30%</t>
  </si>
  <si>
    <t>Giá trị dự kiến tổng chi phí (được xác định tại thời điểm tháng 4/2025)</t>
  </si>
  <si>
    <t xml:space="preserve">Chi phí bồi thường. </t>
  </si>
  <si>
    <t>Hệ thống giao thông.</t>
  </si>
  <si>
    <t>Công viên cây xanh: 57.640 m2</t>
  </si>
  <si>
    <t xml:space="preserve">Bờ kè 
</t>
  </si>
  <si>
    <t>BẢNG TỔNG CHI PHÍ ĐẦU TƯ DỰ KIẾN CÁC DỰ ÁN, CÔNG TRÌNH PHỤC VỤ CÔNG TÁC TÍNH GIÁ TRỊ QUYỀN SỬ DỤNG ĐẤT HẠ TẦNG KHU CÔNG NGHIỆP CÁT LÁI CỤM II - GIAI ĐOẠN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</si>
</sst>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0"/>
      <name val="Arial"/>
    </font>
    <font>
      <sz val="10"/>
      <name val="Arial"/>
      <family val="2"/>
    </font>
    <font>
      <sz val="12"/>
      <name val="Times New Roman"/>
      <family val="1"/>
    </font>
    <font>
      <b/>
      <sz val="12"/>
      <name val="Times New Roman"/>
      <family val="1"/>
    </font>
    <font>
      <i/>
      <sz val="12"/>
      <name val="Times New Roman"/>
      <family val="1"/>
    </font>
    <font>
      <b/>
      <sz val="16"/>
      <name val="Times New Roman"/>
      <family val="1"/>
    </font>
    <font>
      <i/>
      <sz val="12"/>
      <color indexed="10"/>
      <name val="Times New Roman"/>
      <family val="1"/>
    </font>
    <font>
      <b/>
      <i/>
      <sz val="12"/>
      <name val="Times New Roman"/>
      <family val="1"/>
    </font>
    <font>
      <sz val="12"/>
      <color rgb="FFFF0000"/>
      <name val="Times New Roman"/>
      <family val="1"/>
    </font>
    <font>
      <sz val="12"/>
      <color indexed="10"/>
      <name val="Times New Roman"/>
      <family val="1"/>
    </font>
    <font>
      <sz val="12"/>
      <color indexed="12"/>
      <name val="Times New Roman"/>
      <family val="1"/>
    </font>
    <font>
      <sz val="11"/>
      <name val="Times New Roman"/>
      <family val="1"/>
    </font>
    <font>
      <b/>
      <sz val="8"/>
      <color indexed="81"/>
      <name val="Tahoma"/>
      <family val="2"/>
    </font>
    <font>
      <sz val="8"/>
      <color indexed="81"/>
      <name val="Tahoma"/>
      <family val="2"/>
    </font>
    <font>
      <sz val="12"/>
      <color theme="1"/>
      <name val="Times New Roman"/>
      <family val="1"/>
    </font>
    <font>
      <i/>
      <sz val="12"/>
      <color theme="1"/>
      <name val="Times New Roman"/>
      <family val="1"/>
    </font>
  </fonts>
  <fills count="6">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indexed="13"/>
        <bgColor indexed="64"/>
      </patternFill>
    </fill>
  </fills>
  <borders count="16">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diagonal/>
    </border>
    <border>
      <left style="thin">
        <color indexed="64"/>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170">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165" fontId="2" fillId="0" borderId="1" xfId="1" applyNumberFormat="1" applyFont="1" applyBorder="1" applyAlignment="1">
      <alignment vertical="center"/>
    </xf>
    <xf numFmtId="0" fontId="2" fillId="0" borderId="3" xfId="0" applyFont="1" applyBorder="1" applyAlignment="1">
      <alignment horizontal="center" vertical="center"/>
    </xf>
    <xf numFmtId="49" fontId="4" fillId="0" borderId="1" xfId="0" applyNumberFormat="1" applyFont="1" applyBorder="1" applyAlignment="1">
      <alignment vertical="center" wrapText="1"/>
    </xf>
    <xf numFmtId="165" fontId="4" fillId="0" borderId="1" xfId="1" applyNumberFormat="1" applyFont="1" applyBorder="1" applyAlignment="1">
      <alignment vertical="center"/>
    </xf>
    <xf numFmtId="0" fontId="4" fillId="0" borderId="0" xfId="0" applyFont="1" applyAlignment="1">
      <alignment vertical="center"/>
    </xf>
    <xf numFmtId="0" fontId="4" fillId="0" borderId="3" xfId="0" applyFont="1" applyBorder="1" applyAlignment="1">
      <alignment horizontal="center" vertical="center"/>
    </xf>
    <xf numFmtId="0" fontId="3" fillId="2" borderId="3" xfId="0" applyFont="1" applyFill="1" applyBorder="1" applyAlignment="1">
      <alignment horizontal="center" vertical="center"/>
    </xf>
    <xf numFmtId="49" fontId="3" fillId="2" borderId="1" xfId="0" applyNumberFormat="1" applyFont="1" applyFill="1" applyBorder="1" applyAlignment="1">
      <alignment vertical="center" wrapText="1"/>
    </xf>
    <xf numFmtId="165" fontId="2" fillId="0" borderId="1" xfId="1" applyNumberFormat="1" applyFont="1" applyBorder="1" applyAlignment="1">
      <alignment vertical="center" wrapText="1"/>
    </xf>
    <xf numFmtId="165" fontId="2" fillId="0" borderId="4" xfId="1" applyNumberFormat="1" applyFont="1" applyBorder="1" applyAlignment="1">
      <alignment vertical="center" wrapText="1"/>
    </xf>
    <xf numFmtId="165" fontId="4" fillId="0" borderId="1" xfId="1" quotePrefix="1" applyNumberFormat="1" applyFont="1" applyBorder="1" applyAlignment="1">
      <alignment vertical="center" wrapText="1"/>
    </xf>
    <xf numFmtId="165" fontId="4" fillId="0" borderId="4" xfId="1" quotePrefix="1" applyNumberFormat="1" applyFont="1" applyBorder="1" applyAlignment="1">
      <alignment vertical="center" wrapText="1"/>
    </xf>
    <xf numFmtId="0" fontId="3" fillId="2" borderId="4" xfId="0" applyFont="1" applyFill="1" applyBorder="1" applyAlignment="1">
      <alignment vertical="center"/>
    </xf>
    <xf numFmtId="0" fontId="3" fillId="2" borderId="3" xfId="2" applyFont="1" applyFill="1" applyBorder="1" applyAlignment="1">
      <alignment horizontal="center" vertical="center"/>
    </xf>
    <xf numFmtId="49" fontId="2" fillId="0" borderId="1" xfId="0" applyNumberFormat="1" applyFont="1" applyBorder="1" applyAlignment="1">
      <alignment vertical="center" wrapText="1"/>
    </xf>
    <xf numFmtId="165" fontId="2" fillId="0" borderId="1" xfId="1" quotePrefix="1" applyNumberFormat="1" applyFont="1" applyBorder="1" applyAlignment="1">
      <alignment vertical="center" wrapText="1"/>
    </xf>
    <xf numFmtId="0" fontId="3" fillId="4" borderId="3" xfId="0" applyFont="1" applyFill="1" applyBorder="1" applyAlignment="1">
      <alignment horizontal="center" vertical="center"/>
    </xf>
    <xf numFmtId="165" fontId="2" fillId="4" borderId="1" xfId="1" applyNumberFormat="1" applyFont="1" applyFill="1" applyBorder="1" applyAlignment="1">
      <alignment vertical="center"/>
    </xf>
    <xf numFmtId="165" fontId="3" fillId="4" borderId="1" xfId="1" applyNumberFormat="1" applyFont="1" applyFill="1" applyBorder="1" applyAlignment="1">
      <alignment vertical="center"/>
    </xf>
    <xf numFmtId="165" fontId="2" fillId="0" borderId="1" xfId="2" applyNumberFormat="1" applyFont="1" applyBorder="1" applyAlignment="1">
      <alignment horizontal="left" vertical="center" wrapText="1"/>
    </xf>
    <xf numFmtId="0" fontId="2" fillId="4" borderId="1" xfId="2" applyFont="1" applyFill="1" applyBorder="1" applyAlignment="1">
      <alignment vertical="center" wrapText="1"/>
    </xf>
    <xf numFmtId="165" fontId="2" fillId="0" borderId="4" xfId="1" quotePrefix="1" applyNumberFormat="1" applyFont="1" applyBorder="1" applyAlignment="1">
      <alignment vertical="center" wrapText="1"/>
    </xf>
    <xf numFmtId="49" fontId="2" fillId="0" borderId="4" xfId="1" quotePrefix="1" applyNumberFormat="1" applyFont="1" applyBorder="1" applyAlignment="1">
      <alignment horizontal="left" vertical="center" wrapText="1"/>
    </xf>
    <xf numFmtId="0" fontId="2" fillId="0" borderId="4" xfId="2" quotePrefix="1" applyFont="1" applyBorder="1" applyAlignment="1">
      <alignment horizontal="left" vertical="center" wrapText="1"/>
    </xf>
    <xf numFmtId="165" fontId="2" fillId="4" borderId="4" xfId="1" applyNumberFormat="1" applyFont="1" applyFill="1" applyBorder="1" applyAlignment="1">
      <alignment vertical="center" wrapText="1"/>
    </xf>
    <xf numFmtId="0" fontId="2" fillId="0" borderId="4" xfId="0" quotePrefix="1" applyFont="1" applyBorder="1" applyAlignment="1">
      <alignment vertical="center" wrapText="1"/>
    </xf>
    <xf numFmtId="49" fontId="2" fillId="0" borderId="4" xfId="1" quotePrefix="1" applyNumberFormat="1" applyFont="1" applyBorder="1" applyAlignment="1">
      <alignment vertical="center" wrapText="1"/>
    </xf>
    <xf numFmtId="165" fontId="2" fillId="4" borderId="4" xfId="1" quotePrefix="1" applyNumberFormat="1" applyFont="1" applyFill="1" applyBorder="1" applyAlignment="1">
      <alignment vertical="center" wrapText="1"/>
    </xf>
    <xf numFmtId="0" fontId="3" fillId="3" borderId="5" xfId="0" applyFont="1" applyFill="1" applyBorder="1" applyAlignment="1">
      <alignment horizontal="center" vertical="center"/>
    </xf>
    <xf numFmtId="165" fontId="4" fillId="0" borderId="4" xfId="1" applyNumberFormat="1" applyFont="1" applyBorder="1" applyAlignment="1">
      <alignment vertical="center"/>
    </xf>
    <xf numFmtId="165" fontId="3" fillId="3" borderId="6" xfId="1" applyNumberFormat="1" applyFont="1" applyFill="1" applyBorder="1" applyAlignment="1">
      <alignment vertical="center"/>
    </xf>
    <xf numFmtId="49" fontId="2" fillId="0" borderId="0" xfId="0" applyNumberFormat="1" applyFont="1" applyAlignment="1">
      <alignment horizontal="left" vertical="center" wrapText="1"/>
    </xf>
    <xf numFmtId="165" fontId="2" fillId="0" borderId="0" xfId="1" applyNumberFormat="1" applyFont="1" applyFill="1" applyBorder="1" applyAlignment="1">
      <alignment horizontal="right" vertical="center"/>
    </xf>
    <xf numFmtId="165" fontId="2" fillId="0" borderId="0" xfId="1" applyNumberFormat="1" applyFont="1" applyFill="1" applyBorder="1" applyAlignment="1">
      <alignment horizontal="left" vertical="center" wrapText="1"/>
    </xf>
    <xf numFmtId="0" fontId="3" fillId="4" borderId="0" xfId="0" applyFont="1" applyFill="1" applyAlignment="1">
      <alignment vertical="center"/>
    </xf>
    <xf numFmtId="49" fontId="2" fillId="0" borderId="1" xfId="0" applyNumberFormat="1" applyFont="1" applyBorder="1" applyAlignment="1">
      <alignment horizontal="left" vertical="center" wrapText="1"/>
    </xf>
    <xf numFmtId="165" fontId="2" fillId="0" borderId="1" xfId="1" applyNumberFormat="1" applyFont="1" applyBorder="1" applyAlignment="1">
      <alignment horizontal="right" vertical="center"/>
    </xf>
    <xf numFmtId="165" fontId="2" fillId="0" borderId="1" xfId="1" applyNumberFormat="1" applyFont="1" applyBorder="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165" fontId="2" fillId="0" borderId="1" xfId="0" applyNumberFormat="1" applyFont="1" applyBorder="1" applyAlignment="1">
      <alignment vertical="center"/>
    </xf>
    <xf numFmtId="165" fontId="2" fillId="0" borderId="1" xfId="1" applyNumberFormat="1" applyFont="1" applyFill="1" applyBorder="1" applyAlignment="1">
      <alignment horizontal="right" vertical="center"/>
    </xf>
    <xf numFmtId="165" fontId="2" fillId="0" borderId="1" xfId="1" applyNumberFormat="1" applyFont="1" applyFill="1" applyBorder="1" applyAlignment="1">
      <alignment horizontal="left" vertical="center" wrapText="1"/>
    </xf>
    <xf numFmtId="165" fontId="6" fillId="0" borderId="1" xfId="1" applyNumberFormat="1" applyFont="1" applyBorder="1" applyAlignment="1">
      <alignment horizontal="left" vertical="center" wrapText="1"/>
    </xf>
    <xf numFmtId="165" fontId="4" fillId="0" borderId="1" xfId="1" applyNumberFormat="1" applyFont="1" applyBorder="1" applyAlignment="1">
      <alignment vertical="center" wrapText="1"/>
    </xf>
    <xf numFmtId="49" fontId="2"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165" fontId="9" fillId="5" borderId="1" xfId="1" applyNumberFormat="1" applyFont="1" applyFill="1" applyBorder="1" applyAlignment="1">
      <alignment horizontal="right" vertical="center"/>
    </xf>
    <xf numFmtId="0" fontId="10" fillId="0" borderId="0" xfId="0" applyFont="1" applyAlignment="1">
      <alignment vertical="center"/>
    </xf>
    <xf numFmtId="0" fontId="10" fillId="0" borderId="3" xfId="0" applyFont="1" applyBorder="1" applyAlignment="1">
      <alignment horizontal="center" vertical="center"/>
    </xf>
    <xf numFmtId="165" fontId="10" fillId="0" borderId="1" xfId="1" applyNumberFormat="1" applyFont="1" applyBorder="1" applyAlignment="1">
      <alignment horizontal="right" vertical="center"/>
    </xf>
    <xf numFmtId="165" fontId="10" fillId="0" borderId="1" xfId="1" applyNumberFormat="1" applyFont="1" applyBorder="1" applyAlignment="1">
      <alignment horizontal="left" vertical="center" wrapText="1"/>
    </xf>
    <xf numFmtId="0" fontId="4" fillId="0" borderId="1" xfId="0" applyFont="1" applyBorder="1" applyAlignment="1">
      <alignment vertical="center"/>
    </xf>
    <xf numFmtId="0" fontId="2" fillId="4" borderId="0" xfId="0" applyFont="1" applyFill="1" applyAlignment="1">
      <alignment vertical="center"/>
    </xf>
    <xf numFmtId="38" fontId="2" fillId="0" borderId="1" xfId="0" applyNumberFormat="1" applyFont="1" applyBorder="1" applyAlignment="1">
      <alignment horizontal="right" vertical="center"/>
    </xf>
    <xf numFmtId="49" fontId="4" fillId="0" borderId="1" xfId="0" applyNumberFormat="1" applyFont="1" applyBorder="1" applyAlignment="1">
      <alignment horizontal="left" vertical="center" wrapText="1"/>
    </xf>
    <xf numFmtId="165" fontId="4" fillId="0" borderId="1" xfId="1" applyNumberFormat="1" applyFont="1" applyBorder="1" applyAlignment="1">
      <alignment horizontal="left" vertical="center" wrapText="1"/>
    </xf>
    <xf numFmtId="165" fontId="4" fillId="0" borderId="1" xfId="1" applyNumberFormat="1" applyFont="1" applyBorder="1" applyAlignment="1">
      <alignment horizontal="center" vertical="center" wrapText="1"/>
    </xf>
    <xf numFmtId="165" fontId="4" fillId="0" borderId="1" xfId="1" applyNumberFormat="1" applyFont="1" applyBorder="1" applyAlignment="1">
      <alignment horizontal="right" vertical="center"/>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xf>
    <xf numFmtId="165" fontId="2" fillId="0" borderId="1" xfId="1" applyNumberFormat="1" applyFont="1" applyFill="1" applyBorder="1" applyAlignment="1">
      <alignment vertical="center" wrapText="1"/>
    </xf>
    <xf numFmtId="165" fontId="4" fillId="0" borderId="1" xfId="1" applyNumberFormat="1" applyFont="1" applyFill="1" applyBorder="1" applyAlignment="1">
      <alignment horizontal="left" vertical="center"/>
    </xf>
    <xf numFmtId="165" fontId="4" fillId="0" borderId="1" xfId="1" applyNumberFormat="1" applyFont="1" applyBorder="1" applyAlignment="1">
      <alignment horizontal="left" vertical="center"/>
    </xf>
    <xf numFmtId="165" fontId="2" fillId="0" borderId="1" xfId="1" applyNumberFormat="1" applyFont="1" applyFill="1" applyBorder="1" applyAlignment="1">
      <alignment horizontal="left" vertical="center"/>
    </xf>
    <xf numFmtId="0" fontId="2" fillId="0" borderId="1" xfId="0" applyFont="1" applyBorder="1" applyAlignment="1">
      <alignment horizontal="left" vertical="center" wrapText="1"/>
    </xf>
    <xf numFmtId="49" fontId="4"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left" vertical="center" wrapText="1"/>
    </xf>
    <xf numFmtId="165" fontId="4" fillId="0" borderId="1" xfId="1" applyNumberFormat="1" applyFont="1" applyBorder="1" applyAlignment="1">
      <alignment horizontal="right" vertical="center" wrapText="1"/>
    </xf>
    <xf numFmtId="49" fontId="11" fillId="0" borderId="1" xfId="0" applyNumberFormat="1" applyFont="1" applyBorder="1" applyAlignment="1">
      <alignment horizontal="left" vertical="center" wrapText="1"/>
    </xf>
    <xf numFmtId="165" fontId="2" fillId="0" borderId="1" xfId="1" applyNumberFormat="1" applyFont="1" applyFill="1" applyBorder="1" applyAlignment="1">
      <alignment horizontal="center" vertical="center" wrapText="1"/>
    </xf>
    <xf numFmtId="165" fontId="2" fillId="4" borderId="1" xfId="1" quotePrefix="1" applyNumberFormat="1" applyFont="1" applyFill="1" applyBorder="1" applyAlignment="1">
      <alignment vertical="center" wrapText="1"/>
    </xf>
    <xf numFmtId="165" fontId="2" fillId="0" borderId="0" xfId="1" applyNumberFormat="1" applyFont="1" applyAlignment="1">
      <alignment horizontal="right" vertical="center"/>
    </xf>
    <xf numFmtId="165" fontId="2" fillId="0" borderId="0" xfId="1" applyNumberFormat="1" applyFont="1" applyAlignment="1">
      <alignment horizontal="left" vertical="center" wrapText="1"/>
    </xf>
    <xf numFmtId="0" fontId="2" fillId="0" borderId="4" xfId="0" applyFont="1" applyBorder="1" applyAlignment="1">
      <alignment vertical="center" wrapText="1"/>
    </xf>
    <xf numFmtId="49" fontId="4" fillId="0" borderId="4" xfId="1" quotePrefix="1" applyNumberFormat="1" applyFont="1" applyBorder="1" applyAlignment="1">
      <alignment vertical="center" wrapText="1"/>
    </xf>
    <xf numFmtId="165" fontId="14" fillId="0" borderId="1" xfId="1" applyNumberFormat="1" applyFont="1" applyBorder="1" applyAlignment="1">
      <alignment horizontal="right" vertical="center"/>
    </xf>
    <xf numFmtId="165" fontId="15" fillId="0" borderId="1" xfId="1" applyNumberFormat="1" applyFont="1" applyBorder="1" applyAlignment="1">
      <alignment horizontal="left" vertical="center" wrapText="1"/>
    </xf>
    <xf numFmtId="165" fontId="15" fillId="0" borderId="1" xfId="1" applyNumberFormat="1" applyFont="1" applyBorder="1" applyAlignment="1">
      <alignment vertical="center"/>
    </xf>
    <xf numFmtId="165" fontId="15" fillId="0" borderId="1" xfId="1" applyNumberFormat="1" applyFont="1" applyFill="1" applyBorder="1" applyAlignment="1">
      <alignment horizontal="right" vertical="center"/>
    </xf>
    <xf numFmtId="165" fontId="14" fillId="0" borderId="1" xfId="0" applyNumberFormat="1" applyFont="1" applyBorder="1" applyAlignment="1">
      <alignment vertical="center"/>
    </xf>
    <xf numFmtId="165" fontId="14" fillId="0" borderId="1" xfId="1" applyNumberFormat="1" applyFont="1" applyBorder="1" applyAlignment="1">
      <alignment horizontal="left" vertical="center" wrapText="1"/>
    </xf>
    <xf numFmtId="165" fontId="14" fillId="4" borderId="1" xfId="1" applyNumberFormat="1" applyFont="1" applyFill="1" applyBorder="1" applyAlignment="1">
      <alignment horizontal="left" vertical="center" wrapText="1"/>
    </xf>
    <xf numFmtId="165" fontId="14" fillId="0" borderId="1" xfId="1" applyNumberFormat="1" applyFont="1" applyBorder="1" applyAlignment="1">
      <alignment vertical="center" wrapText="1"/>
    </xf>
    <xf numFmtId="49" fontId="3" fillId="2" borderId="1" xfId="0" applyNumberFormat="1" applyFont="1" applyFill="1" applyBorder="1" applyAlignment="1">
      <alignment horizontal="left" vertical="center" wrapText="1"/>
    </xf>
    <xf numFmtId="165" fontId="3" fillId="2" borderId="1" xfId="1" applyNumberFormat="1" applyFont="1" applyFill="1" applyBorder="1" applyAlignment="1">
      <alignment horizontal="right" vertical="center"/>
    </xf>
    <xf numFmtId="165" fontId="3" fillId="2" borderId="1" xfId="1" applyNumberFormat="1" applyFont="1" applyFill="1" applyBorder="1" applyAlignment="1">
      <alignment horizontal="left" vertical="center" wrapText="1"/>
    </xf>
    <xf numFmtId="165" fontId="3" fillId="2" borderId="1" xfId="0" applyNumberFormat="1" applyFont="1" applyFill="1" applyBorder="1" applyAlignment="1">
      <alignment vertical="center"/>
    </xf>
    <xf numFmtId="49" fontId="7" fillId="2" borderId="1" xfId="0" applyNumberFormat="1" applyFont="1" applyFill="1" applyBorder="1" applyAlignment="1">
      <alignment horizontal="center" vertical="center" wrapText="1"/>
    </xf>
    <xf numFmtId="0" fontId="3" fillId="3" borderId="6" xfId="2" applyFont="1" applyFill="1" applyBorder="1" applyAlignment="1">
      <alignment horizontal="center" vertical="center" wrapText="1"/>
    </xf>
    <xf numFmtId="165" fontId="4" fillId="0" borderId="1" xfId="1" applyNumberFormat="1" applyFont="1" applyFill="1" applyBorder="1" applyAlignment="1">
      <alignment horizontal="right" vertical="center"/>
    </xf>
    <xf numFmtId="165" fontId="3" fillId="4" borderId="0" xfId="1" applyNumberFormat="1" applyFont="1" applyFill="1" applyAlignment="1">
      <alignment vertical="center"/>
    </xf>
    <xf numFmtId="165" fontId="3" fillId="4" borderId="0" xfId="0" applyNumberFormat="1" applyFont="1" applyFill="1" applyAlignment="1">
      <alignment vertical="center"/>
    </xf>
    <xf numFmtId="49" fontId="2" fillId="0" borderId="1" xfId="0" applyNumberFormat="1" applyFont="1" applyBorder="1" applyAlignment="1">
      <alignment horizontal="center" vertical="center" wrapText="1"/>
    </xf>
    <xf numFmtId="0" fontId="5" fillId="0" borderId="0" xfId="0" applyFont="1" applyAlignment="1">
      <alignment horizontal="center" wrapText="1"/>
    </xf>
    <xf numFmtId="0" fontId="4" fillId="0" borderId="10" xfId="2" applyFont="1" applyBorder="1" applyAlignment="1">
      <alignment vertical="center"/>
    </xf>
    <xf numFmtId="165" fontId="4" fillId="0" borderId="10" xfId="1" applyNumberFormat="1" applyFont="1" applyBorder="1" applyAlignment="1">
      <alignment vertical="center"/>
    </xf>
    <xf numFmtId="0" fontId="4" fillId="0" borderId="1" xfId="2" applyFont="1" applyBorder="1" applyAlignment="1">
      <alignment vertical="center"/>
    </xf>
    <xf numFmtId="0" fontId="2" fillId="4" borderId="3" xfId="0" applyFont="1" applyFill="1" applyBorder="1" applyAlignment="1">
      <alignment horizontal="center" vertical="center"/>
    </xf>
    <xf numFmtId="49" fontId="2" fillId="4" borderId="1" xfId="0" applyNumberFormat="1" applyFont="1" applyFill="1" applyBorder="1" applyAlignment="1">
      <alignment vertical="center" wrapText="1"/>
    </xf>
    <xf numFmtId="0" fontId="4" fillId="0" borderId="1" xfId="2" applyFont="1" applyBorder="1" applyAlignment="1">
      <alignment vertical="center" wrapText="1"/>
    </xf>
    <xf numFmtId="49" fontId="2" fillId="0" borderId="2" xfId="0" applyNumberFormat="1" applyFont="1" applyBorder="1" applyAlignment="1">
      <alignment horizontal="left" vertical="center" wrapText="1"/>
    </xf>
    <xf numFmtId="165" fontId="2" fillId="0" borderId="2" xfId="0" applyNumberFormat="1" applyFont="1" applyBorder="1" applyAlignment="1">
      <alignment vertical="center"/>
    </xf>
    <xf numFmtId="165" fontId="2" fillId="0" borderId="2" xfId="1" applyNumberFormat="1" applyFont="1" applyBorder="1" applyAlignment="1">
      <alignment horizontal="left" vertical="center" wrapText="1"/>
    </xf>
    <xf numFmtId="165" fontId="2" fillId="0" borderId="0" xfId="0" applyNumberFormat="1" applyFont="1" applyAlignment="1">
      <alignment vertical="center"/>
    </xf>
    <xf numFmtId="0" fontId="3" fillId="3" borderId="8" xfId="0" applyFont="1" applyFill="1" applyBorder="1" applyAlignment="1">
      <alignment horizontal="center" vertical="center"/>
    </xf>
    <xf numFmtId="49" fontId="3" fillId="3" borderId="9" xfId="0" applyNumberFormat="1" applyFont="1" applyFill="1" applyBorder="1" applyAlignment="1">
      <alignment horizontal="center" vertical="center" wrapText="1"/>
    </xf>
    <xf numFmtId="49" fontId="3" fillId="4" borderId="1" xfId="0" applyNumberFormat="1" applyFont="1" applyFill="1" applyBorder="1" applyAlignment="1">
      <alignment horizontal="left" vertical="center" wrapText="1"/>
    </xf>
    <xf numFmtId="165" fontId="3" fillId="4" borderId="1" xfId="1" applyNumberFormat="1" applyFont="1" applyFill="1" applyBorder="1" applyAlignment="1">
      <alignment horizontal="right" vertical="center"/>
    </xf>
    <xf numFmtId="165" fontId="3" fillId="4" borderId="1" xfId="1" applyNumberFormat="1" applyFont="1" applyFill="1" applyBorder="1" applyAlignment="1">
      <alignment horizontal="left" vertical="center" wrapText="1"/>
    </xf>
    <xf numFmtId="165" fontId="3" fillId="4" borderId="1" xfId="0" applyNumberFormat="1" applyFont="1" applyFill="1" applyBorder="1" applyAlignment="1">
      <alignment vertical="center"/>
    </xf>
    <xf numFmtId="38" fontId="3" fillId="4" borderId="1" xfId="0" applyNumberFormat="1" applyFont="1" applyFill="1" applyBorder="1" applyAlignment="1">
      <alignment vertical="center"/>
    </xf>
    <xf numFmtId="38" fontId="2" fillId="4" borderId="1" xfId="0" applyNumberFormat="1" applyFont="1" applyFill="1" applyBorder="1" applyAlignment="1">
      <alignment horizontal="right" vertical="center"/>
    </xf>
    <xf numFmtId="165" fontId="2" fillId="4" borderId="1" xfId="1" applyNumberFormat="1" applyFont="1" applyFill="1" applyBorder="1" applyAlignment="1">
      <alignment horizontal="left" vertical="center" wrapText="1"/>
    </xf>
    <xf numFmtId="165" fontId="3" fillId="4" borderId="1" xfId="1" applyNumberFormat="1" applyFont="1" applyFill="1" applyBorder="1" applyAlignment="1">
      <alignment horizontal="center" vertical="center" wrapText="1"/>
    </xf>
    <xf numFmtId="165" fontId="2" fillId="4" borderId="1" xfId="1" applyNumberFormat="1" applyFont="1" applyFill="1" applyBorder="1" applyAlignment="1">
      <alignment horizontal="center" vertical="center" wrapText="1"/>
    </xf>
    <xf numFmtId="0" fontId="3" fillId="4" borderId="3" xfId="2" applyFont="1" applyFill="1" applyBorder="1" applyAlignment="1">
      <alignment horizontal="center" vertical="center"/>
    </xf>
    <xf numFmtId="0" fontId="3" fillId="4" borderId="1" xfId="2" applyFont="1" applyFill="1" applyBorder="1" applyAlignment="1">
      <alignment vertical="center" wrapText="1"/>
    </xf>
    <xf numFmtId="165" fontId="2" fillId="4" borderId="1" xfId="1" applyNumberFormat="1" applyFont="1" applyFill="1" applyBorder="1" applyAlignment="1">
      <alignment horizontal="right" vertical="center"/>
    </xf>
    <xf numFmtId="49" fontId="4" fillId="4" borderId="1" xfId="0" applyNumberFormat="1" applyFont="1" applyFill="1" applyBorder="1" applyAlignment="1">
      <alignment horizontal="center" vertical="center" wrapText="1"/>
    </xf>
    <xf numFmtId="49" fontId="3" fillId="4" borderId="1" xfId="0" applyNumberFormat="1" applyFont="1" applyFill="1" applyBorder="1" applyAlignment="1">
      <alignment vertical="center" wrapText="1"/>
    </xf>
    <xf numFmtId="0" fontId="3" fillId="4" borderId="1" xfId="0" applyFont="1" applyFill="1" applyBorder="1" applyAlignment="1">
      <alignment vertical="center" wrapText="1"/>
    </xf>
    <xf numFmtId="0" fontId="3" fillId="3" borderId="13" xfId="0" applyFont="1" applyFill="1" applyBorder="1" applyAlignment="1">
      <alignment horizontal="center" vertical="center" wrapText="1"/>
    </xf>
    <xf numFmtId="165" fontId="3" fillId="2" borderId="14" xfId="0" applyNumberFormat="1" applyFont="1" applyFill="1" applyBorder="1" applyAlignment="1">
      <alignment vertical="center"/>
    </xf>
    <xf numFmtId="165" fontId="3" fillId="4" borderId="14" xfId="1" applyNumberFormat="1" applyFont="1" applyFill="1" applyBorder="1" applyAlignment="1">
      <alignment vertical="center"/>
    </xf>
    <xf numFmtId="165" fontId="3" fillId="4" borderId="14" xfId="0" applyNumberFormat="1" applyFont="1" applyFill="1" applyBorder="1" applyAlignment="1">
      <alignment vertical="center"/>
    </xf>
    <xf numFmtId="0" fontId="2" fillId="0" borderId="14" xfId="0" applyFont="1" applyBorder="1" applyAlignment="1">
      <alignment vertical="center"/>
    </xf>
    <xf numFmtId="0" fontId="4" fillId="0" borderId="14" xfId="0" applyFont="1" applyBorder="1" applyAlignment="1">
      <alignment vertical="center"/>
    </xf>
    <xf numFmtId="165" fontId="2" fillId="0" borderId="14" xfId="0" applyNumberFormat="1" applyFont="1" applyBorder="1" applyAlignment="1">
      <alignment vertical="center"/>
    </xf>
    <xf numFmtId="0" fontId="10" fillId="0" borderId="14" xfId="0" applyFont="1" applyBorder="1" applyAlignment="1">
      <alignment vertical="center"/>
    </xf>
    <xf numFmtId="38" fontId="3" fillId="4" borderId="14" xfId="0" applyNumberFormat="1" applyFont="1" applyFill="1" applyBorder="1" applyAlignment="1">
      <alignment vertical="center"/>
    </xf>
    <xf numFmtId="165" fontId="4" fillId="0" borderId="14" xfId="2" applyNumberFormat="1" applyFont="1" applyBorder="1" applyAlignment="1">
      <alignment vertical="center"/>
    </xf>
    <xf numFmtId="165" fontId="4" fillId="0" borderId="14" xfId="1" quotePrefix="1" applyNumberFormat="1" applyFont="1" applyBorder="1" applyAlignment="1">
      <alignment vertical="center" wrapText="1"/>
    </xf>
    <xf numFmtId="165" fontId="2" fillId="0" borderId="14" xfId="1" applyNumberFormat="1" applyFont="1" applyBorder="1" applyAlignment="1">
      <alignment vertical="center" wrapText="1"/>
    </xf>
    <xf numFmtId="165" fontId="2" fillId="0" borderId="14" xfId="1" applyNumberFormat="1" applyFont="1" applyBorder="1" applyAlignment="1">
      <alignment vertical="center"/>
    </xf>
    <xf numFmtId="165" fontId="2" fillId="0" borderId="14" xfId="2" applyNumberFormat="1" applyFont="1" applyBorder="1" applyAlignment="1">
      <alignment horizontal="left" vertical="center" wrapText="1"/>
    </xf>
    <xf numFmtId="165" fontId="2" fillId="4" borderId="14" xfId="1" applyNumberFormat="1" applyFont="1" applyFill="1" applyBorder="1" applyAlignment="1">
      <alignment vertical="center"/>
    </xf>
    <xf numFmtId="165" fontId="3" fillId="2" borderId="14" xfId="1" applyNumberFormat="1" applyFont="1" applyFill="1" applyBorder="1" applyAlignment="1">
      <alignment horizontal="right" vertical="center"/>
    </xf>
    <xf numFmtId="165" fontId="4" fillId="0" borderId="14" xfId="1" applyNumberFormat="1" applyFont="1" applyBorder="1" applyAlignment="1">
      <alignment vertical="center"/>
    </xf>
    <xf numFmtId="165" fontId="8" fillId="4" borderId="14" xfId="0" applyNumberFormat="1" applyFont="1" applyFill="1" applyBorder="1" applyAlignment="1">
      <alignment vertical="center"/>
    </xf>
    <xf numFmtId="165" fontId="3" fillId="3" borderId="15" xfId="1" applyNumberFormat="1" applyFont="1" applyFill="1" applyBorder="1" applyAlignment="1">
      <alignment vertical="center"/>
    </xf>
    <xf numFmtId="0" fontId="2" fillId="4" borderId="4" xfId="0" applyFont="1" applyFill="1" applyBorder="1" applyAlignment="1">
      <alignment vertical="center" wrapText="1"/>
    </xf>
    <xf numFmtId="0" fontId="3" fillId="4" borderId="4" xfId="0" applyFont="1" applyFill="1" applyBorder="1" applyAlignment="1">
      <alignment vertical="center"/>
    </xf>
    <xf numFmtId="0" fontId="4" fillId="0" borderId="4" xfId="0" applyFont="1" applyBorder="1" applyAlignment="1">
      <alignment vertical="center"/>
    </xf>
    <xf numFmtId="165" fontId="4" fillId="0" borderId="4" xfId="1" applyNumberFormat="1" applyFont="1" applyBorder="1" applyAlignment="1">
      <alignment vertical="center" wrapText="1"/>
    </xf>
    <xf numFmtId="49" fontId="2" fillId="0" borderId="4" xfId="0" applyNumberFormat="1" applyFont="1" applyBorder="1" applyAlignment="1">
      <alignment horizontal="left" vertical="center"/>
    </xf>
    <xf numFmtId="0" fontId="10" fillId="0" borderId="4" xfId="0" applyFont="1" applyBorder="1" applyAlignment="1">
      <alignment vertical="center"/>
    </xf>
    <xf numFmtId="165" fontId="4" fillId="4" borderId="4" xfId="1" applyNumberFormat="1" applyFont="1" applyFill="1" applyBorder="1" applyAlignment="1">
      <alignment vertical="center" wrapText="1"/>
    </xf>
    <xf numFmtId="0" fontId="2" fillId="4" borderId="4" xfId="0" applyFont="1" applyFill="1" applyBorder="1" applyAlignment="1">
      <alignment vertical="center"/>
    </xf>
    <xf numFmtId="0" fontId="4" fillId="4" borderId="4" xfId="1" quotePrefix="1" applyNumberFormat="1" applyFont="1" applyFill="1" applyBorder="1" applyAlignment="1">
      <alignment vertical="center" wrapText="1"/>
    </xf>
    <xf numFmtId="165" fontId="2" fillId="0" borderId="4" xfId="0" applyNumberFormat="1" applyFont="1" applyBorder="1" applyAlignment="1">
      <alignment vertical="center"/>
    </xf>
    <xf numFmtId="165" fontId="2" fillId="4" borderId="4" xfId="1" applyNumberFormat="1" applyFont="1" applyFill="1" applyBorder="1" applyAlignment="1">
      <alignment horizontal="center" vertical="center" wrapText="1"/>
    </xf>
    <xf numFmtId="49" fontId="2" fillId="4" borderId="4" xfId="1" quotePrefix="1" applyNumberFormat="1" applyFont="1" applyFill="1" applyBorder="1" applyAlignment="1">
      <alignment vertical="center" wrapText="1"/>
    </xf>
    <xf numFmtId="0" fontId="3" fillId="2" borderId="4" xfId="2" applyFont="1" applyFill="1" applyBorder="1" applyAlignment="1">
      <alignment horizontal="left" vertical="center" wrapText="1"/>
    </xf>
    <xf numFmtId="165" fontId="2" fillId="4" borderId="4" xfId="1" applyNumberFormat="1" applyFont="1" applyFill="1" applyBorder="1" applyAlignment="1">
      <alignment vertical="center"/>
    </xf>
    <xf numFmtId="165" fontId="3" fillId="3" borderId="7" xfId="1" quotePrefix="1" applyNumberFormat="1" applyFont="1" applyFill="1" applyBorder="1" applyAlignment="1">
      <alignment vertical="center" wrapText="1"/>
    </xf>
    <xf numFmtId="165" fontId="3" fillId="3" borderId="9" xfId="1" applyNumberFormat="1" applyFont="1" applyFill="1" applyBorder="1" applyAlignment="1">
      <alignment horizontal="center" vertical="center" wrapText="1"/>
    </xf>
    <xf numFmtId="0" fontId="5" fillId="0" borderId="0" xfId="0" applyFont="1" applyAlignment="1">
      <alignment horizontal="center" wrapText="1"/>
    </xf>
    <xf numFmtId="0" fontId="4" fillId="0" borderId="4" xfId="0" quotePrefix="1" applyFont="1" applyBorder="1" applyAlignment="1">
      <alignment horizontal="left" vertical="center" wrapText="1"/>
    </xf>
    <xf numFmtId="0" fontId="4" fillId="0" borderId="4" xfId="0" applyFont="1" applyBorder="1" applyAlignment="1">
      <alignment horizontal="left" vertical="center"/>
    </xf>
    <xf numFmtId="165" fontId="2" fillId="0" borderId="14" xfId="0" applyNumberFormat="1" applyFont="1" applyBorder="1" applyAlignment="1">
      <alignment horizontal="center" vertical="center"/>
    </xf>
    <xf numFmtId="0" fontId="2" fillId="0" borderId="14" xfId="0" applyFont="1" applyBorder="1" applyAlignment="1">
      <alignment horizontal="center" vertical="center"/>
    </xf>
    <xf numFmtId="165" fontId="3" fillId="3" borderId="12" xfId="1" applyNumberFormat="1" applyFont="1" applyFill="1" applyBorder="1" applyAlignment="1">
      <alignment horizontal="center" vertical="center" wrapText="1"/>
    </xf>
    <xf numFmtId="165" fontId="3" fillId="3" borderId="13" xfId="1" applyNumberFormat="1" applyFont="1" applyFill="1" applyBorder="1" applyAlignment="1">
      <alignment horizontal="center" vertical="center" wrapText="1"/>
    </xf>
    <xf numFmtId="165" fontId="3" fillId="3" borderId="11" xfId="1" applyNumberFormat="1" applyFont="1" applyFill="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03.DU%20AN%20CONG%20TY\03.KHU%20CONG%20NGHIEP\04.TM&#272;T\&#272;I&#7872;U%20CH&#7880;NH%20TM&#272;T%202022\KINH%20PHI%20DAU%20TU%203-2022-ANH%20OK.xlsx" TargetMode="External"/><Relationship Id="rId1" Type="http://schemas.openxmlformats.org/officeDocument/2006/relationships/externalLinkPath" Target="/03.DU%20AN%20CONG%20TY/03.KHU%20CONG%20NGHIEP/04.TM&#272;T/&#272;I&#7872;U%20CH&#7880;NH%20TM&#272;T%202022/KINH%20PHI%20DAU%20TU%203-2022-ANH%20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UU TRU"/>
      <sheetName val="GD2 + LUU TRU"/>
      <sheetName val="GĐ 2"/>
      <sheetName val="THAM TRA GD2"/>
      <sheetName val="so sanh"/>
      <sheetName val="HOP DONG"/>
      <sheetName val="DON GIA CHO THUE BQ - DU AN"/>
      <sheetName val="HOP DONG (2)"/>
      <sheetName val="Sheet3"/>
      <sheetName val="PHU LUC 1"/>
    </sheetNames>
    <sheetDataSet>
      <sheetData sheetId="0"/>
      <sheetData sheetId="1"/>
      <sheetData sheetId="2"/>
      <sheetData sheetId="3"/>
      <sheetData sheetId="4"/>
      <sheetData sheetId="5"/>
      <sheetData sheetId="6"/>
      <sheetData sheetId="7"/>
      <sheetData sheetId="8"/>
      <sheetData sheetId="9">
        <row r="16">
          <cell r="E16">
            <v>8440032900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EE8F-D01B-4EA4-B8E8-21FB5131BF64}">
  <sheetPr>
    <tabColor rgb="FFFF0000"/>
    <pageSetUpPr fitToPage="1"/>
  </sheetPr>
  <dimension ref="A1:I133"/>
  <sheetViews>
    <sheetView tabSelected="1" topLeftCell="A112" zoomScaleNormal="100" workbookViewId="0">
      <selection activeCell="E133" sqref="E133"/>
    </sheetView>
  </sheetViews>
  <sheetFormatPr defaultColWidth="9.140625" defaultRowHeight="15.75" x14ac:dyDescent="0.2"/>
  <cols>
    <col min="1" max="1" width="8.85546875" style="2" customWidth="1"/>
    <col min="2" max="2" width="62.85546875" style="35" customWidth="1"/>
    <col min="3" max="3" width="22.140625" style="77" hidden="1" customWidth="1"/>
    <col min="4" max="4" width="10.140625" style="78" hidden="1" customWidth="1"/>
    <col min="5" max="5" width="40" style="1" customWidth="1"/>
    <col min="6" max="6" width="73.7109375" style="1" hidden="1" customWidth="1"/>
    <col min="7" max="7" width="5.5703125" style="1" hidden="1" customWidth="1"/>
    <col min="8" max="8" width="27.140625" style="1" customWidth="1"/>
    <col min="9" max="9" width="25.140625" style="1" customWidth="1"/>
    <col min="10" max="16384" width="9.140625" style="1"/>
  </cols>
  <sheetData>
    <row r="1" spans="1:7" ht="64.5" customHeight="1" x14ac:dyDescent="0.3">
      <c r="A1" s="162" t="s">
        <v>242</v>
      </c>
      <c r="B1" s="162"/>
      <c r="C1" s="162"/>
      <c r="D1" s="162"/>
      <c r="E1" s="162"/>
      <c r="F1" s="162"/>
      <c r="G1" s="99"/>
    </row>
    <row r="2" spans="1:7" ht="15.75" customHeight="1" thickBot="1" x14ac:dyDescent="0.25">
      <c r="C2" s="36"/>
      <c r="D2" s="37"/>
    </row>
    <row r="3" spans="1:7" ht="46.5" customHeight="1" x14ac:dyDescent="0.2">
      <c r="A3" s="110" t="s">
        <v>124</v>
      </c>
      <c r="B3" s="111" t="s">
        <v>0</v>
      </c>
      <c r="C3" s="167" t="s">
        <v>123</v>
      </c>
      <c r="D3" s="168"/>
      <c r="E3" s="161" t="s">
        <v>237</v>
      </c>
      <c r="F3" s="169"/>
      <c r="G3" s="127" t="s">
        <v>125</v>
      </c>
    </row>
    <row r="4" spans="1:7" s="38" customFormat="1" ht="34.5" customHeight="1" x14ac:dyDescent="0.2">
      <c r="A4" s="10" t="s">
        <v>126</v>
      </c>
      <c r="B4" s="89" t="s">
        <v>127</v>
      </c>
      <c r="C4" s="90">
        <f>C5+C6+C10+C85</f>
        <v>366539366560</v>
      </c>
      <c r="D4" s="91"/>
      <c r="E4" s="92">
        <f>E5+E6+E10+E85+E86+E87</f>
        <v>382762758873</v>
      </c>
      <c r="F4" s="16"/>
      <c r="G4" s="128">
        <f>G5+G6+G10+G85+G86+G87</f>
        <v>382762758873</v>
      </c>
    </row>
    <row r="5" spans="1:7" s="38" customFormat="1" ht="47.25" x14ac:dyDescent="0.2">
      <c r="A5" s="20" t="s">
        <v>5</v>
      </c>
      <c r="B5" s="112" t="s">
        <v>128</v>
      </c>
      <c r="C5" s="113">
        <v>2319426131</v>
      </c>
      <c r="D5" s="114"/>
      <c r="E5" s="22">
        <v>3319005323</v>
      </c>
      <c r="F5" s="146" t="s">
        <v>129</v>
      </c>
      <c r="G5" s="129">
        <f>E5</f>
        <v>3319005323</v>
      </c>
    </row>
    <row r="6" spans="1:7" s="38" customFormat="1" ht="30.75" customHeight="1" x14ac:dyDescent="0.2">
      <c r="A6" s="20" t="s">
        <v>6</v>
      </c>
      <c r="B6" s="112" t="s">
        <v>130</v>
      </c>
      <c r="C6" s="113">
        <f>C7+C8+C9</f>
        <v>197919947053</v>
      </c>
      <c r="D6" s="114"/>
      <c r="E6" s="115">
        <f>E7+E8+E9</f>
        <v>195752251333</v>
      </c>
      <c r="F6" s="147"/>
      <c r="G6" s="130">
        <f>E6</f>
        <v>195752251333</v>
      </c>
    </row>
    <row r="7" spans="1:7" ht="28.5" customHeight="1" x14ac:dyDescent="0.2">
      <c r="A7" s="5">
        <v>1</v>
      </c>
      <c r="B7" s="39" t="s">
        <v>131</v>
      </c>
      <c r="C7" s="40">
        <v>195397185700</v>
      </c>
      <c r="D7" s="41" t="s">
        <v>132</v>
      </c>
      <c r="E7" s="4">
        <f>C7</f>
        <v>195397185700</v>
      </c>
      <c r="F7" s="30" t="s">
        <v>133</v>
      </c>
      <c r="G7" s="131"/>
    </row>
    <row r="8" spans="1:7" ht="20.25" hidden="1" customHeight="1" x14ac:dyDescent="0.2">
      <c r="A8" s="5">
        <v>2</v>
      </c>
      <c r="B8" s="39" t="s">
        <v>1</v>
      </c>
      <c r="C8" s="40">
        <v>2000000000</v>
      </c>
      <c r="D8" s="41"/>
      <c r="E8" s="43"/>
      <c r="F8" s="79" t="s">
        <v>134</v>
      </c>
      <c r="G8" s="131"/>
    </row>
    <row r="9" spans="1:7" ht="21.75" customHeight="1" x14ac:dyDescent="0.2">
      <c r="A9" s="5">
        <v>2</v>
      </c>
      <c r="B9" s="39" t="s">
        <v>135</v>
      </c>
      <c r="C9" s="40">
        <v>522761353</v>
      </c>
      <c r="D9" s="41"/>
      <c r="E9" s="4">
        <v>355065633</v>
      </c>
      <c r="F9" s="79" t="s">
        <v>136</v>
      </c>
      <c r="G9" s="131"/>
    </row>
    <row r="10" spans="1:7" s="38" customFormat="1" ht="36" customHeight="1" x14ac:dyDescent="0.2">
      <c r="A10" s="20" t="s">
        <v>7</v>
      </c>
      <c r="B10" s="112" t="s">
        <v>137</v>
      </c>
      <c r="C10" s="113">
        <f>C11+C18+C31+C37+C41+C45+C52+C58+C59+C60+C61+C76+C77+C78+C84</f>
        <v>124065293428</v>
      </c>
      <c r="D10" s="114"/>
      <c r="E10" s="115">
        <f>+E11+E18+E31+E37+E41+E45+E52+E58+E59+E60+E61+E76+E77+E78+E84</f>
        <v>124680495688</v>
      </c>
      <c r="F10" s="147"/>
      <c r="G10" s="130">
        <f>E10</f>
        <v>124680495688</v>
      </c>
    </row>
    <row r="11" spans="1:7" ht="25.5" customHeight="1" x14ac:dyDescent="0.2">
      <c r="A11" s="5">
        <v>1</v>
      </c>
      <c r="B11" s="39" t="s">
        <v>138</v>
      </c>
      <c r="C11" s="40">
        <f>SUM(C12:C17)</f>
        <v>57631352073</v>
      </c>
      <c r="D11" s="41"/>
      <c r="E11" s="44">
        <f>SUM(E12:E17)</f>
        <v>57625536661</v>
      </c>
      <c r="F11" s="42"/>
      <c r="G11" s="131"/>
    </row>
    <row r="12" spans="1:7" ht="94.5" hidden="1" x14ac:dyDescent="0.2">
      <c r="A12" s="5"/>
      <c r="B12" s="6" t="s">
        <v>16</v>
      </c>
      <c r="C12" s="7">
        <v>41462733000</v>
      </c>
      <c r="D12" s="14" t="s">
        <v>44</v>
      </c>
      <c r="E12" s="7">
        <v>41462733000</v>
      </c>
      <c r="F12" s="15" t="s">
        <v>44</v>
      </c>
      <c r="G12" s="131"/>
    </row>
    <row r="13" spans="1:7" ht="26.25" hidden="1" customHeight="1" x14ac:dyDescent="0.2">
      <c r="A13" s="5"/>
      <c r="B13" s="6" t="s">
        <v>17</v>
      </c>
      <c r="C13" s="7">
        <v>3101804000</v>
      </c>
      <c r="D13" s="14" t="s">
        <v>45</v>
      </c>
      <c r="E13" s="7">
        <v>3101804000</v>
      </c>
      <c r="F13" s="15" t="s">
        <v>45</v>
      </c>
      <c r="G13" s="131"/>
    </row>
    <row r="14" spans="1:7" ht="78.75" hidden="1" x14ac:dyDescent="0.2">
      <c r="A14" s="5"/>
      <c r="B14" s="6" t="s">
        <v>18</v>
      </c>
      <c r="C14" s="7">
        <v>2215398000</v>
      </c>
      <c r="D14" s="14" t="s">
        <v>46</v>
      </c>
      <c r="E14" s="7">
        <v>2215398000</v>
      </c>
      <c r="F14" s="15" t="s">
        <v>46</v>
      </c>
      <c r="G14" s="131"/>
    </row>
    <row r="15" spans="1:7" ht="94.5" hidden="1" x14ac:dyDescent="0.2">
      <c r="A15" s="5"/>
      <c r="B15" s="6" t="s">
        <v>19</v>
      </c>
      <c r="C15" s="7">
        <v>3130317000</v>
      </c>
      <c r="D15" s="14" t="s">
        <v>47</v>
      </c>
      <c r="E15" s="7">
        <v>3130317000</v>
      </c>
      <c r="F15" s="15" t="s">
        <v>47</v>
      </c>
      <c r="G15" s="131"/>
    </row>
    <row r="16" spans="1:7" ht="78.75" hidden="1" x14ac:dyDescent="0.2">
      <c r="A16" s="5"/>
      <c r="B16" s="6" t="s">
        <v>23</v>
      </c>
      <c r="C16" s="7">
        <v>4571509000</v>
      </c>
      <c r="D16" s="14" t="s">
        <v>25</v>
      </c>
      <c r="E16" s="7">
        <v>4571509000</v>
      </c>
      <c r="F16" s="15" t="s">
        <v>25</v>
      </c>
      <c r="G16" s="131"/>
    </row>
    <row r="17" spans="1:7" ht="22.5" hidden="1" customHeight="1" x14ac:dyDescent="0.2">
      <c r="A17" s="5"/>
      <c r="B17" s="6" t="s">
        <v>24</v>
      </c>
      <c r="C17" s="45">
        <v>3149591073</v>
      </c>
      <c r="D17" s="46" t="s">
        <v>139</v>
      </c>
      <c r="E17" s="7">
        <v>3143775661</v>
      </c>
      <c r="F17" s="15" t="s">
        <v>79</v>
      </c>
      <c r="G17" s="131"/>
    </row>
    <row r="18" spans="1:7" s="8" customFormat="1" x14ac:dyDescent="0.2">
      <c r="A18" s="5">
        <v>2</v>
      </c>
      <c r="B18" s="39" t="s">
        <v>140</v>
      </c>
      <c r="C18" s="40">
        <f>'[1]PHU LUC 1'!E16</f>
        <v>8440032900</v>
      </c>
      <c r="D18" s="41"/>
      <c r="E18" s="44">
        <v>8440032900</v>
      </c>
      <c r="F18" s="148"/>
      <c r="G18" s="132"/>
    </row>
    <row r="19" spans="1:7" s="8" customFormat="1" ht="24.75" hidden="1" customHeight="1" x14ac:dyDescent="0.2">
      <c r="A19" s="5"/>
      <c r="B19" s="100" t="s">
        <v>214</v>
      </c>
      <c r="C19" s="62"/>
      <c r="D19" s="60"/>
      <c r="E19" s="101">
        <v>932967000</v>
      </c>
      <c r="F19" s="163" t="s">
        <v>213</v>
      </c>
      <c r="G19" s="132"/>
    </row>
    <row r="20" spans="1:7" s="8" customFormat="1" ht="24.75" hidden="1" customHeight="1" x14ac:dyDescent="0.2">
      <c r="A20" s="5"/>
      <c r="B20" s="102" t="s">
        <v>215</v>
      </c>
      <c r="C20" s="62"/>
      <c r="D20" s="60"/>
      <c r="E20" s="7">
        <v>539427000</v>
      </c>
      <c r="F20" s="164"/>
      <c r="G20" s="132"/>
    </row>
    <row r="21" spans="1:7" s="8" customFormat="1" ht="41.25" hidden="1" customHeight="1" x14ac:dyDescent="0.2">
      <c r="A21" s="5"/>
      <c r="B21" s="105" t="s">
        <v>216</v>
      </c>
      <c r="C21" s="62"/>
      <c r="D21" s="60"/>
      <c r="E21" s="7">
        <v>390688000</v>
      </c>
      <c r="F21" s="164"/>
      <c r="G21" s="132"/>
    </row>
    <row r="22" spans="1:7" s="8" customFormat="1" ht="24.75" hidden="1" customHeight="1" x14ac:dyDescent="0.2">
      <c r="A22" s="5"/>
      <c r="B22" s="102" t="s">
        <v>217</v>
      </c>
      <c r="C22" s="62"/>
      <c r="D22" s="60"/>
      <c r="E22" s="7">
        <v>569028600</v>
      </c>
      <c r="F22" s="164"/>
      <c r="G22" s="132"/>
    </row>
    <row r="23" spans="1:7" s="8" customFormat="1" ht="24.75" hidden="1" customHeight="1" x14ac:dyDescent="0.2">
      <c r="A23" s="5"/>
      <c r="B23" s="102" t="s">
        <v>218</v>
      </c>
      <c r="C23" s="62"/>
      <c r="D23" s="60"/>
      <c r="E23" s="7">
        <v>1071316000</v>
      </c>
      <c r="F23" s="164"/>
      <c r="G23" s="132"/>
    </row>
    <row r="24" spans="1:7" s="8" customFormat="1" ht="24.75" hidden="1" customHeight="1" x14ac:dyDescent="0.2">
      <c r="A24" s="5"/>
      <c r="B24" s="102" t="s">
        <v>219</v>
      </c>
      <c r="C24" s="62"/>
      <c r="D24" s="60"/>
      <c r="E24" s="7">
        <v>434629100</v>
      </c>
      <c r="F24" s="164"/>
      <c r="G24" s="132"/>
    </row>
    <row r="25" spans="1:7" s="8" customFormat="1" ht="24.75" hidden="1" customHeight="1" x14ac:dyDescent="0.2">
      <c r="A25" s="5"/>
      <c r="B25" s="102" t="s">
        <v>220</v>
      </c>
      <c r="C25" s="62"/>
      <c r="D25" s="60"/>
      <c r="E25" s="7">
        <v>707560000</v>
      </c>
      <c r="F25" s="164"/>
      <c r="G25" s="132"/>
    </row>
    <row r="26" spans="1:7" s="8" customFormat="1" ht="24.75" hidden="1" customHeight="1" x14ac:dyDescent="0.2">
      <c r="A26" s="5"/>
      <c r="B26" s="102" t="s">
        <v>221</v>
      </c>
      <c r="C26" s="62"/>
      <c r="D26" s="60"/>
      <c r="E26" s="7">
        <v>917660000</v>
      </c>
      <c r="F26" s="164"/>
      <c r="G26" s="132"/>
    </row>
    <row r="27" spans="1:7" s="8" customFormat="1" ht="44.25" hidden="1" customHeight="1" x14ac:dyDescent="0.2">
      <c r="A27" s="5"/>
      <c r="B27" s="105" t="s">
        <v>222</v>
      </c>
      <c r="C27" s="62"/>
      <c r="D27" s="60"/>
      <c r="E27" s="7">
        <v>1093696000</v>
      </c>
      <c r="F27" s="164"/>
      <c r="G27" s="132"/>
    </row>
    <row r="28" spans="1:7" s="8" customFormat="1" ht="24.75" hidden="1" customHeight="1" x14ac:dyDescent="0.2">
      <c r="A28" s="5"/>
      <c r="B28" s="102" t="s">
        <v>223</v>
      </c>
      <c r="C28" s="62"/>
      <c r="D28" s="60"/>
      <c r="E28" s="7">
        <v>479848200</v>
      </c>
      <c r="F28" s="164"/>
      <c r="G28" s="132"/>
    </row>
    <row r="29" spans="1:7" s="8" customFormat="1" ht="31.5" hidden="1" customHeight="1" x14ac:dyDescent="0.2">
      <c r="A29" s="5"/>
      <c r="B29" s="102" t="s">
        <v>224</v>
      </c>
      <c r="C29" s="62"/>
      <c r="D29" s="60"/>
      <c r="E29" s="7">
        <v>636150000</v>
      </c>
      <c r="F29" s="164"/>
      <c r="G29" s="132"/>
    </row>
    <row r="30" spans="1:7" s="8" customFormat="1" ht="31.5" hidden="1" customHeight="1" x14ac:dyDescent="0.2">
      <c r="A30" s="5"/>
      <c r="B30" s="102" t="s">
        <v>225</v>
      </c>
      <c r="C30" s="62"/>
      <c r="D30" s="60"/>
      <c r="E30" s="7">
        <v>667063000</v>
      </c>
      <c r="F30" s="164"/>
      <c r="G30" s="132"/>
    </row>
    <row r="31" spans="1:7" ht="23.25" customHeight="1" x14ac:dyDescent="0.2">
      <c r="A31" s="5">
        <v>3</v>
      </c>
      <c r="B31" s="106" t="s">
        <v>141</v>
      </c>
      <c r="C31" s="107">
        <f>SUM(C32:C36)</f>
        <v>13993312000</v>
      </c>
      <c r="D31" s="108" t="s">
        <v>142</v>
      </c>
      <c r="E31" s="107">
        <f>SUM(E32:E36)</f>
        <v>14050609000</v>
      </c>
      <c r="F31" s="42"/>
      <c r="G31" s="131"/>
    </row>
    <row r="32" spans="1:7" ht="24" hidden="1" customHeight="1" x14ac:dyDescent="0.2">
      <c r="A32" s="5"/>
      <c r="B32" s="6" t="s">
        <v>20</v>
      </c>
      <c r="C32" s="7">
        <v>8834717000</v>
      </c>
      <c r="D32" s="47"/>
      <c r="E32" s="7">
        <v>8834717000</v>
      </c>
      <c r="F32" s="33" t="s">
        <v>48</v>
      </c>
      <c r="G32" s="131"/>
    </row>
    <row r="33" spans="1:8" ht="21.75" hidden="1" customHeight="1" x14ac:dyDescent="0.2">
      <c r="A33" s="5"/>
      <c r="B33" s="6" t="s">
        <v>21</v>
      </c>
      <c r="C33" s="7">
        <v>1146575000</v>
      </c>
      <c r="D33" s="47"/>
      <c r="E33" s="7">
        <v>1146575000</v>
      </c>
      <c r="F33" s="33" t="s">
        <v>49</v>
      </c>
      <c r="G33" s="131"/>
    </row>
    <row r="34" spans="1:8" ht="23.25" hidden="1" customHeight="1" x14ac:dyDescent="0.2">
      <c r="A34" s="5"/>
      <c r="B34" s="6" t="s">
        <v>22</v>
      </c>
      <c r="C34" s="81">
        <v>2634839000</v>
      </c>
      <c r="D34" s="82"/>
      <c r="E34" s="7">
        <v>2634839000</v>
      </c>
      <c r="F34" s="33" t="s">
        <v>50</v>
      </c>
      <c r="G34" s="131"/>
    </row>
    <row r="35" spans="1:8" ht="21.75" hidden="1" customHeight="1" x14ac:dyDescent="0.2">
      <c r="A35" s="5"/>
      <c r="B35" s="6" t="s">
        <v>28</v>
      </c>
      <c r="C35" s="83">
        <v>1377181000</v>
      </c>
      <c r="D35" s="82"/>
      <c r="E35" s="7">
        <v>1377181000</v>
      </c>
      <c r="F35" s="33" t="s">
        <v>51</v>
      </c>
      <c r="G35" s="133"/>
    </row>
    <row r="36" spans="1:8" ht="24.75" hidden="1" customHeight="1" x14ac:dyDescent="0.2">
      <c r="A36" s="5"/>
      <c r="B36" s="6" t="s">
        <v>41</v>
      </c>
      <c r="C36" s="84"/>
      <c r="D36" s="82"/>
      <c r="E36" s="7">
        <v>57297000</v>
      </c>
      <c r="F36" s="149" t="s">
        <v>143</v>
      </c>
      <c r="G36" s="131"/>
    </row>
    <row r="37" spans="1:8" ht="24.75" customHeight="1" x14ac:dyDescent="0.2">
      <c r="A37" s="5">
        <v>4</v>
      </c>
      <c r="B37" s="39" t="s">
        <v>3</v>
      </c>
      <c r="C37" s="85">
        <f>SUM(C38:C40)</f>
        <v>12666134000</v>
      </c>
      <c r="D37" s="86" t="s">
        <v>142</v>
      </c>
      <c r="E37" s="44">
        <f>SUM(E38:E40)</f>
        <v>12666134000</v>
      </c>
      <c r="F37" s="42"/>
      <c r="G37" s="131"/>
    </row>
    <row r="38" spans="1:8" hidden="1" x14ac:dyDescent="0.2">
      <c r="A38" s="5"/>
      <c r="B38" s="6" t="s">
        <v>26</v>
      </c>
      <c r="C38" s="83">
        <v>8273134000</v>
      </c>
      <c r="D38" s="83" t="s">
        <v>52</v>
      </c>
      <c r="E38" s="7">
        <v>8273134000</v>
      </c>
      <c r="F38" s="33" t="s">
        <v>52</v>
      </c>
      <c r="G38" s="131"/>
    </row>
    <row r="39" spans="1:8" ht="24.75" hidden="1" customHeight="1" x14ac:dyDescent="0.2">
      <c r="A39" s="5"/>
      <c r="B39" s="6" t="s">
        <v>27</v>
      </c>
      <c r="C39" s="83">
        <v>1187188000</v>
      </c>
      <c r="D39" s="83" t="s">
        <v>53</v>
      </c>
      <c r="E39" s="7">
        <v>1187188000</v>
      </c>
      <c r="F39" s="33" t="s">
        <v>53</v>
      </c>
      <c r="G39" s="131"/>
    </row>
    <row r="40" spans="1:8" hidden="1" x14ac:dyDescent="0.2">
      <c r="A40" s="5"/>
      <c r="B40" s="6" t="s">
        <v>43</v>
      </c>
      <c r="C40" s="81">
        <v>3205812000</v>
      </c>
      <c r="D40" s="86" t="s">
        <v>142</v>
      </c>
      <c r="E40" s="7">
        <v>3205812000</v>
      </c>
      <c r="F40" s="33" t="s">
        <v>72</v>
      </c>
      <c r="G40" s="131"/>
    </row>
    <row r="41" spans="1:8" ht="26.25" customHeight="1" x14ac:dyDescent="0.2">
      <c r="A41" s="5">
        <v>5</v>
      </c>
      <c r="B41" s="49" t="s">
        <v>8</v>
      </c>
      <c r="C41" s="81">
        <f>SUM(C42:C44)</f>
        <v>4440093490</v>
      </c>
      <c r="D41" s="87" t="s">
        <v>144</v>
      </c>
      <c r="E41" s="44">
        <f>SUM(E42:E44)</f>
        <v>4440093490</v>
      </c>
      <c r="F41" s="42"/>
      <c r="G41" s="131"/>
    </row>
    <row r="42" spans="1:8" ht="78.75" hidden="1" x14ac:dyDescent="0.2">
      <c r="A42" s="5"/>
      <c r="B42" s="6" t="s">
        <v>29</v>
      </c>
      <c r="C42" s="83">
        <v>3230410000</v>
      </c>
      <c r="D42" s="88" t="s">
        <v>54</v>
      </c>
      <c r="E42" s="7">
        <v>3230410000</v>
      </c>
      <c r="F42" s="13" t="s">
        <v>54</v>
      </c>
      <c r="G42" s="131"/>
    </row>
    <row r="43" spans="1:8" ht="63" hidden="1" x14ac:dyDescent="0.2">
      <c r="A43" s="5"/>
      <c r="B43" s="6" t="s">
        <v>30</v>
      </c>
      <c r="C43" s="81">
        <v>716990874</v>
      </c>
      <c r="D43" s="88" t="s">
        <v>55</v>
      </c>
      <c r="E43" s="7">
        <v>716990874</v>
      </c>
      <c r="F43" s="13" t="s">
        <v>55</v>
      </c>
      <c r="G43" s="131"/>
    </row>
    <row r="44" spans="1:8" ht="78.75" hidden="1" x14ac:dyDescent="0.2">
      <c r="A44" s="5"/>
      <c r="B44" s="6" t="s">
        <v>31</v>
      </c>
      <c r="C44" s="81">
        <v>492692616</v>
      </c>
      <c r="D44" s="88" t="s">
        <v>56</v>
      </c>
      <c r="E44" s="7">
        <v>492692616</v>
      </c>
      <c r="F44" s="13" t="s">
        <v>56</v>
      </c>
      <c r="G44" s="131"/>
    </row>
    <row r="45" spans="1:8" x14ac:dyDescent="0.2">
      <c r="A45" s="5">
        <v>6</v>
      </c>
      <c r="B45" s="39" t="s">
        <v>145</v>
      </c>
      <c r="C45" s="45">
        <f>SUM(C46:C51)</f>
        <v>4263948795</v>
      </c>
      <c r="D45" s="50" t="s">
        <v>146</v>
      </c>
      <c r="E45" s="45">
        <f>SUM(E46:E51)</f>
        <v>4263948795</v>
      </c>
      <c r="F45" s="150" t="s">
        <v>146</v>
      </c>
      <c r="G45" s="131"/>
      <c r="H45" s="109"/>
    </row>
    <row r="46" spans="1:8" ht="24.75" hidden="1" customHeight="1" x14ac:dyDescent="0.2">
      <c r="A46" s="5"/>
      <c r="B46" s="59" t="s">
        <v>147</v>
      </c>
      <c r="C46" s="51">
        <v>94693980</v>
      </c>
      <c r="D46" s="41"/>
      <c r="E46" s="7">
        <v>94693980</v>
      </c>
      <c r="F46" s="42" t="s">
        <v>227</v>
      </c>
      <c r="G46" s="131"/>
    </row>
    <row r="47" spans="1:8" ht="22.5" hidden="1" customHeight="1" x14ac:dyDescent="0.2">
      <c r="A47" s="5"/>
      <c r="B47" s="59" t="s">
        <v>148</v>
      </c>
      <c r="C47" s="51">
        <v>17506094</v>
      </c>
      <c r="D47" s="41"/>
      <c r="E47" s="7">
        <v>17506094</v>
      </c>
      <c r="F47" s="42" t="s">
        <v>227</v>
      </c>
      <c r="G47" s="131"/>
    </row>
    <row r="48" spans="1:8" ht="22.5" hidden="1" customHeight="1" x14ac:dyDescent="0.2">
      <c r="A48" s="5"/>
      <c r="B48" s="59" t="s">
        <v>149</v>
      </c>
      <c r="C48" s="51">
        <v>3825655448</v>
      </c>
      <c r="D48" s="41"/>
      <c r="E48" s="7">
        <v>3825655448</v>
      </c>
      <c r="F48" s="42" t="s">
        <v>227</v>
      </c>
      <c r="G48" s="131"/>
    </row>
    <row r="49" spans="1:7" ht="21.75" hidden="1" customHeight="1" x14ac:dyDescent="0.2">
      <c r="A49" s="5"/>
      <c r="B49" s="59" t="s">
        <v>150</v>
      </c>
      <c r="C49" s="51">
        <v>30027273</v>
      </c>
      <c r="D49" s="41"/>
      <c r="E49" s="7">
        <v>30027273</v>
      </c>
      <c r="F49" s="42" t="s">
        <v>227</v>
      </c>
      <c r="G49" s="131"/>
    </row>
    <row r="50" spans="1:7" ht="21.75" hidden="1" customHeight="1" x14ac:dyDescent="0.2">
      <c r="A50" s="5"/>
      <c r="B50" s="59" t="s">
        <v>151</v>
      </c>
      <c r="C50" s="51">
        <v>102074000</v>
      </c>
      <c r="D50" s="41" t="s">
        <v>142</v>
      </c>
      <c r="E50" s="7">
        <v>102074000</v>
      </c>
      <c r="F50" s="149" t="s">
        <v>57</v>
      </c>
      <c r="G50" s="131"/>
    </row>
    <row r="51" spans="1:7" ht="21" hidden="1" customHeight="1" x14ac:dyDescent="0.2">
      <c r="A51" s="5"/>
      <c r="B51" s="59" t="s">
        <v>152</v>
      </c>
      <c r="C51" s="51">
        <v>193992000</v>
      </c>
      <c r="D51" s="41" t="s">
        <v>142</v>
      </c>
      <c r="E51" s="7">
        <v>193992000</v>
      </c>
      <c r="F51" s="149" t="s">
        <v>58</v>
      </c>
      <c r="G51" s="131"/>
    </row>
    <row r="52" spans="1:7" ht="24" customHeight="1" x14ac:dyDescent="0.2">
      <c r="A52" s="5">
        <v>7</v>
      </c>
      <c r="B52" s="39" t="s">
        <v>153</v>
      </c>
      <c r="C52" s="40">
        <f>3525500000+270700000+129348000+117512000+1549692073</f>
        <v>5592752073</v>
      </c>
      <c r="D52" s="41" t="s">
        <v>142</v>
      </c>
      <c r="E52" s="44">
        <f>SUM(E53:E57)</f>
        <v>5592752073</v>
      </c>
      <c r="F52" s="42"/>
      <c r="G52" s="133"/>
    </row>
    <row r="53" spans="1:7" ht="19.5" hidden="1" customHeight="1" x14ac:dyDescent="0.2">
      <c r="A53" s="5"/>
      <c r="B53" s="6" t="s">
        <v>32</v>
      </c>
      <c r="C53" s="40"/>
      <c r="D53" s="41"/>
      <c r="E53" s="7">
        <v>3525500000</v>
      </c>
      <c r="F53" s="149" t="s">
        <v>59</v>
      </c>
      <c r="G53" s="131"/>
    </row>
    <row r="54" spans="1:7" ht="19.5" hidden="1" customHeight="1" x14ac:dyDescent="0.2">
      <c r="A54" s="5"/>
      <c r="B54" s="6" t="s">
        <v>33</v>
      </c>
      <c r="C54" s="40"/>
      <c r="D54" s="41"/>
      <c r="E54" s="7">
        <v>270700000</v>
      </c>
      <c r="F54" s="149" t="s">
        <v>60</v>
      </c>
      <c r="G54" s="131"/>
    </row>
    <row r="55" spans="1:7" ht="19.5" hidden="1" customHeight="1" x14ac:dyDescent="0.2">
      <c r="A55" s="5"/>
      <c r="B55" s="6" t="s">
        <v>34</v>
      </c>
      <c r="C55" s="40"/>
      <c r="D55" s="41"/>
      <c r="E55" s="7">
        <v>129348000</v>
      </c>
      <c r="F55" s="149" t="s">
        <v>61</v>
      </c>
      <c r="G55" s="131"/>
    </row>
    <row r="56" spans="1:7" ht="19.5" hidden="1" customHeight="1" x14ac:dyDescent="0.2">
      <c r="A56" s="5"/>
      <c r="B56" s="6" t="s">
        <v>35</v>
      </c>
      <c r="C56" s="40"/>
      <c r="D56" s="41"/>
      <c r="E56" s="7">
        <v>117512000</v>
      </c>
      <c r="F56" s="149" t="s">
        <v>62</v>
      </c>
      <c r="G56" s="131"/>
    </row>
    <row r="57" spans="1:7" ht="19.5" hidden="1" customHeight="1" x14ac:dyDescent="0.2">
      <c r="A57" s="5"/>
      <c r="B57" s="6" t="s">
        <v>36</v>
      </c>
      <c r="C57" s="40"/>
      <c r="D57" s="41"/>
      <c r="E57" s="7">
        <v>1549692073</v>
      </c>
      <c r="F57" s="149" t="s">
        <v>80</v>
      </c>
      <c r="G57" s="131"/>
    </row>
    <row r="58" spans="1:7" ht="26.25" customHeight="1" x14ac:dyDescent="0.2">
      <c r="A58" s="5">
        <v>8</v>
      </c>
      <c r="B58" s="39" t="s">
        <v>154</v>
      </c>
      <c r="C58" s="40">
        <v>3805824541</v>
      </c>
      <c r="D58" s="41" t="s">
        <v>142</v>
      </c>
      <c r="E58" s="40">
        <v>3805824541</v>
      </c>
      <c r="F58" s="13" t="s">
        <v>63</v>
      </c>
      <c r="G58" s="131"/>
    </row>
    <row r="59" spans="1:7" x14ac:dyDescent="0.2">
      <c r="A59" s="5">
        <v>9</v>
      </c>
      <c r="B59" s="39" t="s">
        <v>155</v>
      </c>
      <c r="C59" s="40">
        <v>454313000</v>
      </c>
      <c r="D59" s="41" t="s">
        <v>142</v>
      </c>
      <c r="E59" s="40">
        <v>454313000</v>
      </c>
      <c r="F59" s="13" t="s">
        <v>65</v>
      </c>
      <c r="G59" s="131"/>
    </row>
    <row r="60" spans="1:7" ht="30" customHeight="1" x14ac:dyDescent="0.2">
      <c r="A60" s="5">
        <v>10</v>
      </c>
      <c r="B60" s="39" t="s">
        <v>12</v>
      </c>
      <c r="C60" s="40">
        <v>295160449</v>
      </c>
      <c r="D60" s="41" t="s">
        <v>142</v>
      </c>
      <c r="E60" s="40">
        <v>295160449</v>
      </c>
      <c r="F60" s="13" t="s">
        <v>66</v>
      </c>
      <c r="G60" s="131"/>
    </row>
    <row r="61" spans="1:7" s="52" customFormat="1" ht="20.25" customHeight="1" x14ac:dyDescent="0.2">
      <c r="A61" s="5">
        <v>11</v>
      </c>
      <c r="B61" s="39" t="s">
        <v>156</v>
      </c>
      <c r="C61" s="40">
        <f>446593000+295509000+345467000+333046000+339752000+345840000+344584000+570311000+535736000+534397000+534774000+689528000+686878000</f>
        <v>6002415000</v>
      </c>
      <c r="D61" s="41" t="s">
        <v>142</v>
      </c>
      <c r="E61" s="44">
        <f>SUM(E62:E75)</f>
        <v>6569951000</v>
      </c>
      <c r="F61" s="151"/>
      <c r="G61" s="134"/>
    </row>
    <row r="62" spans="1:7" s="52" customFormat="1" ht="20.25" hidden="1" customHeight="1" x14ac:dyDescent="0.2">
      <c r="A62" s="53"/>
      <c r="B62" s="6" t="s">
        <v>96</v>
      </c>
      <c r="C62" s="54"/>
      <c r="D62" s="55"/>
      <c r="E62" s="7">
        <v>446593000</v>
      </c>
      <c r="F62" s="149" t="s">
        <v>97</v>
      </c>
      <c r="G62" s="134"/>
    </row>
    <row r="63" spans="1:7" s="52" customFormat="1" ht="20.25" hidden="1" customHeight="1" x14ac:dyDescent="0.2">
      <c r="A63" s="53"/>
      <c r="B63" s="6" t="s">
        <v>98</v>
      </c>
      <c r="C63" s="54"/>
      <c r="D63" s="55"/>
      <c r="E63" s="7">
        <v>295509000</v>
      </c>
      <c r="F63" s="149" t="s">
        <v>99</v>
      </c>
      <c r="G63" s="134"/>
    </row>
    <row r="64" spans="1:7" s="52" customFormat="1" ht="20.25" hidden="1" customHeight="1" x14ac:dyDescent="0.2">
      <c r="A64" s="53"/>
      <c r="B64" s="6" t="s">
        <v>100</v>
      </c>
      <c r="C64" s="54"/>
      <c r="D64" s="55"/>
      <c r="E64" s="7">
        <v>345467000</v>
      </c>
      <c r="F64" s="149" t="s">
        <v>101</v>
      </c>
      <c r="G64" s="134"/>
    </row>
    <row r="65" spans="1:7" s="52" customFormat="1" ht="20.25" hidden="1" customHeight="1" x14ac:dyDescent="0.2">
      <c r="A65" s="53"/>
      <c r="B65" s="6" t="s">
        <v>102</v>
      </c>
      <c r="C65" s="54"/>
      <c r="D65" s="55"/>
      <c r="E65" s="7">
        <v>333046000</v>
      </c>
      <c r="F65" s="149" t="s">
        <v>103</v>
      </c>
      <c r="G65" s="134"/>
    </row>
    <row r="66" spans="1:7" s="52" customFormat="1" ht="20.25" hidden="1" customHeight="1" x14ac:dyDescent="0.2">
      <c r="A66" s="53"/>
      <c r="B66" s="6" t="s">
        <v>104</v>
      </c>
      <c r="C66" s="54"/>
      <c r="D66" s="55"/>
      <c r="E66" s="7">
        <v>339752000</v>
      </c>
      <c r="F66" s="149" t="s">
        <v>105</v>
      </c>
      <c r="G66" s="134"/>
    </row>
    <row r="67" spans="1:7" s="52" customFormat="1" ht="20.25" hidden="1" customHeight="1" x14ac:dyDescent="0.2">
      <c r="A67" s="53"/>
      <c r="B67" s="6" t="s">
        <v>106</v>
      </c>
      <c r="C67" s="54"/>
      <c r="D67" s="55"/>
      <c r="E67" s="7">
        <v>345840000</v>
      </c>
      <c r="F67" s="149" t="s">
        <v>107</v>
      </c>
      <c r="G67" s="134"/>
    </row>
    <row r="68" spans="1:7" s="52" customFormat="1" ht="20.25" hidden="1" customHeight="1" x14ac:dyDescent="0.2">
      <c r="A68" s="53"/>
      <c r="B68" s="6" t="s">
        <v>108</v>
      </c>
      <c r="C68" s="54"/>
      <c r="D68" s="55"/>
      <c r="E68" s="7">
        <v>344584000</v>
      </c>
      <c r="F68" s="149" t="s">
        <v>109</v>
      </c>
      <c r="G68" s="134"/>
    </row>
    <row r="69" spans="1:7" s="52" customFormat="1" ht="20.25" hidden="1" customHeight="1" x14ac:dyDescent="0.2">
      <c r="A69" s="53"/>
      <c r="B69" s="6" t="s">
        <v>110</v>
      </c>
      <c r="C69" s="54"/>
      <c r="D69" s="55"/>
      <c r="E69" s="7">
        <v>570311000</v>
      </c>
      <c r="F69" s="149" t="s">
        <v>111</v>
      </c>
      <c r="G69" s="134"/>
    </row>
    <row r="70" spans="1:7" s="52" customFormat="1" ht="20.25" hidden="1" customHeight="1" x14ac:dyDescent="0.2">
      <c r="A70" s="53"/>
      <c r="B70" s="6" t="s">
        <v>112</v>
      </c>
      <c r="C70" s="54"/>
      <c r="D70" s="55"/>
      <c r="E70" s="7">
        <v>535736000</v>
      </c>
      <c r="F70" s="149" t="s">
        <v>113</v>
      </c>
      <c r="G70" s="134"/>
    </row>
    <row r="71" spans="1:7" s="52" customFormat="1" ht="20.25" hidden="1" customHeight="1" x14ac:dyDescent="0.2">
      <c r="A71" s="53"/>
      <c r="B71" s="6" t="s">
        <v>114</v>
      </c>
      <c r="C71" s="54"/>
      <c r="D71" s="55"/>
      <c r="E71" s="7">
        <v>534397000</v>
      </c>
      <c r="F71" s="149" t="s">
        <v>115</v>
      </c>
      <c r="G71" s="134"/>
    </row>
    <row r="72" spans="1:7" s="52" customFormat="1" ht="20.25" hidden="1" customHeight="1" x14ac:dyDescent="0.2">
      <c r="A72" s="53"/>
      <c r="B72" s="6" t="s">
        <v>116</v>
      </c>
      <c r="C72" s="54"/>
      <c r="D72" s="55"/>
      <c r="E72" s="7">
        <v>534774000</v>
      </c>
      <c r="F72" s="149" t="s">
        <v>117</v>
      </c>
      <c r="G72" s="134"/>
    </row>
    <row r="73" spans="1:7" s="52" customFormat="1" ht="20.25" hidden="1" customHeight="1" x14ac:dyDescent="0.2">
      <c r="A73" s="53"/>
      <c r="B73" s="6" t="s">
        <v>118</v>
      </c>
      <c r="C73" s="54"/>
      <c r="D73" s="55"/>
      <c r="E73" s="7">
        <v>689528000</v>
      </c>
      <c r="F73" s="149" t="s">
        <v>119</v>
      </c>
      <c r="G73" s="134"/>
    </row>
    <row r="74" spans="1:7" s="52" customFormat="1" ht="20.25" hidden="1" customHeight="1" x14ac:dyDescent="0.2">
      <c r="A74" s="53"/>
      <c r="B74" s="6" t="s">
        <v>120</v>
      </c>
      <c r="C74" s="54"/>
      <c r="D74" s="55"/>
      <c r="E74" s="7">
        <v>686878000</v>
      </c>
      <c r="F74" s="149" t="s">
        <v>121</v>
      </c>
      <c r="G74" s="134"/>
    </row>
    <row r="75" spans="1:7" s="52" customFormat="1" ht="20.25" hidden="1" customHeight="1" x14ac:dyDescent="0.2">
      <c r="A75" s="53"/>
      <c r="B75" s="6" t="s">
        <v>122</v>
      </c>
      <c r="C75" s="54"/>
      <c r="D75" s="55"/>
      <c r="E75" s="7">
        <v>567536000</v>
      </c>
      <c r="F75" s="152" t="s">
        <v>211</v>
      </c>
      <c r="G75" s="134"/>
    </row>
    <row r="76" spans="1:7" x14ac:dyDescent="0.2">
      <c r="A76" s="5">
        <v>12</v>
      </c>
      <c r="B76" s="39" t="s">
        <v>157</v>
      </c>
      <c r="C76" s="40">
        <v>1834144000</v>
      </c>
      <c r="D76" s="41" t="s">
        <v>142</v>
      </c>
      <c r="E76" s="40">
        <v>1834144000</v>
      </c>
      <c r="F76" s="13" t="s">
        <v>67</v>
      </c>
      <c r="G76" s="131"/>
    </row>
    <row r="77" spans="1:7" ht="31.5" x14ac:dyDescent="0.2">
      <c r="A77" s="5">
        <v>13</v>
      </c>
      <c r="B77" s="39" t="s">
        <v>158</v>
      </c>
      <c r="C77" s="40">
        <v>195229817</v>
      </c>
      <c r="D77" s="41" t="s">
        <v>142</v>
      </c>
      <c r="E77" s="40">
        <v>195229817</v>
      </c>
      <c r="F77" s="13" t="s">
        <v>68</v>
      </c>
      <c r="G77" s="131"/>
    </row>
    <row r="78" spans="1:7" ht="31.5" x14ac:dyDescent="0.2">
      <c r="A78" s="5">
        <v>14</v>
      </c>
      <c r="B78" s="39" t="s">
        <v>159</v>
      </c>
      <c r="C78" s="40">
        <f>SUM(C79:C83)</f>
        <v>1114990000</v>
      </c>
      <c r="D78" s="41" t="s">
        <v>142</v>
      </c>
      <c r="E78" s="44">
        <f>SUM(E79:E83)</f>
        <v>1114990000</v>
      </c>
      <c r="F78" s="42"/>
      <c r="G78" s="131"/>
    </row>
    <row r="79" spans="1:7" ht="78.75" hidden="1" x14ac:dyDescent="0.2">
      <c r="A79" s="5"/>
      <c r="B79" s="6" t="s">
        <v>37</v>
      </c>
      <c r="C79" s="7">
        <v>549889000</v>
      </c>
      <c r="D79" s="48" t="s">
        <v>38</v>
      </c>
      <c r="E79" s="7">
        <v>549889000</v>
      </c>
      <c r="F79" s="149" t="s">
        <v>38</v>
      </c>
      <c r="G79" s="131"/>
    </row>
    <row r="80" spans="1:7" ht="78.75" hidden="1" x14ac:dyDescent="0.2">
      <c r="A80" s="5"/>
      <c r="B80" s="6" t="s">
        <v>75</v>
      </c>
      <c r="C80" s="7">
        <v>280867000</v>
      </c>
      <c r="D80" s="48" t="s">
        <v>74</v>
      </c>
      <c r="E80" s="7">
        <v>280867000</v>
      </c>
      <c r="F80" s="149" t="s">
        <v>74</v>
      </c>
      <c r="G80" s="131"/>
    </row>
    <row r="81" spans="1:7" ht="78.75" hidden="1" x14ac:dyDescent="0.2">
      <c r="A81" s="5"/>
      <c r="B81" s="6" t="s">
        <v>39</v>
      </c>
      <c r="C81" s="7">
        <v>143803000</v>
      </c>
      <c r="D81" s="48" t="s">
        <v>76</v>
      </c>
      <c r="E81" s="7">
        <v>143803000</v>
      </c>
      <c r="F81" s="149" t="s">
        <v>76</v>
      </c>
      <c r="G81" s="131"/>
    </row>
    <row r="82" spans="1:7" ht="78.75" hidden="1" x14ac:dyDescent="0.2">
      <c r="A82" s="5"/>
      <c r="B82" s="6" t="s">
        <v>40</v>
      </c>
      <c r="C82" s="7">
        <v>92720000</v>
      </c>
      <c r="D82" s="48" t="s">
        <v>77</v>
      </c>
      <c r="E82" s="7">
        <v>92720000</v>
      </c>
      <c r="F82" s="149" t="s">
        <v>77</v>
      </c>
      <c r="G82" s="131"/>
    </row>
    <row r="83" spans="1:7" ht="78.75" hidden="1" x14ac:dyDescent="0.2">
      <c r="A83" s="5"/>
      <c r="B83" s="6" t="s">
        <v>42</v>
      </c>
      <c r="C83" s="7">
        <v>47711000</v>
      </c>
      <c r="D83" s="48" t="s">
        <v>78</v>
      </c>
      <c r="E83" s="7">
        <v>47711000</v>
      </c>
      <c r="F83" s="149" t="s">
        <v>78</v>
      </c>
      <c r="G83" s="131"/>
    </row>
    <row r="84" spans="1:7" ht="20.25" customHeight="1" x14ac:dyDescent="0.2">
      <c r="A84" s="5">
        <v>15</v>
      </c>
      <c r="B84" s="39" t="s">
        <v>160</v>
      </c>
      <c r="C84" s="45">
        <v>3335591290</v>
      </c>
      <c r="D84" s="46" t="s">
        <v>142</v>
      </c>
      <c r="E84" s="21">
        <v>3331775962</v>
      </c>
      <c r="F84" s="13" t="s">
        <v>161</v>
      </c>
      <c r="G84" s="131"/>
    </row>
    <row r="85" spans="1:7" s="38" customFormat="1" ht="31.5" x14ac:dyDescent="0.2">
      <c r="A85" s="20" t="s">
        <v>9</v>
      </c>
      <c r="B85" s="112" t="s">
        <v>162</v>
      </c>
      <c r="C85" s="113">
        <v>42234699948</v>
      </c>
      <c r="D85" s="114"/>
      <c r="E85" s="116">
        <f>C85</f>
        <v>42234699948</v>
      </c>
      <c r="F85" s="28" t="s">
        <v>136</v>
      </c>
      <c r="G85" s="135">
        <f>E85</f>
        <v>42234699948</v>
      </c>
    </row>
    <row r="86" spans="1:7" s="57" customFormat="1" ht="31.5" x14ac:dyDescent="0.2">
      <c r="A86" s="20" t="s">
        <v>10</v>
      </c>
      <c r="B86" s="112" t="s">
        <v>163</v>
      </c>
      <c r="C86" s="117"/>
      <c r="D86" s="118"/>
      <c r="E86" s="22">
        <v>16308985581</v>
      </c>
      <c r="F86" s="31" t="s">
        <v>212</v>
      </c>
      <c r="G86" s="130">
        <f>E86</f>
        <v>16308985581</v>
      </c>
    </row>
    <row r="87" spans="1:7" s="57" customFormat="1" ht="33.6" customHeight="1" x14ac:dyDescent="0.2">
      <c r="A87" s="20" t="s">
        <v>11</v>
      </c>
      <c r="B87" s="112" t="s">
        <v>164</v>
      </c>
      <c r="C87" s="117"/>
      <c r="D87" s="118"/>
      <c r="E87" s="115">
        <f>+E88+E89</f>
        <v>467321000</v>
      </c>
      <c r="F87" s="153"/>
      <c r="G87" s="130">
        <f>E87</f>
        <v>467321000</v>
      </c>
    </row>
    <row r="88" spans="1:7" ht="27" hidden="1" customHeight="1" x14ac:dyDescent="0.2">
      <c r="A88" s="5"/>
      <c r="B88" s="6" t="s">
        <v>14</v>
      </c>
      <c r="C88" s="58"/>
      <c r="D88" s="41"/>
      <c r="E88" s="7">
        <v>450009000</v>
      </c>
      <c r="F88" s="149" t="s">
        <v>64</v>
      </c>
      <c r="G88" s="131"/>
    </row>
    <row r="89" spans="1:7" ht="27" hidden="1" customHeight="1" x14ac:dyDescent="0.2">
      <c r="A89" s="5"/>
      <c r="B89" s="6" t="s">
        <v>15</v>
      </c>
      <c r="C89" s="58"/>
      <c r="D89" s="41"/>
      <c r="E89" s="7">
        <v>17312000</v>
      </c>
      <c r="F89" s="149" t="s">
        <v>73</v>
      </c>
      <c r="G89" s="131"/>
    </row>
    <row r="90" spans="1:7" s="38" customFormat="1" ht="39.75" customHeight="1" x14ac:dyDescent="0.2">
      <c r="A90" s="10" t="s">
        <v>165</v>
      </c>
      <c r="B90" s="89" t="s">
        <v>166</v>
      </c>
      <c r="C90" s="90" t="e">
        <f>C91+C97+C117+C120+#REF!</f>
        <v>#REF!</v>
      </c>
      <c r="D90" s="91"/>
      <c r="E90" s="92">
        <f>E91+E97+E117+E120</f>
        <v>502846976043.47449</v>
      </c>
      <c r="F90" s="16"/>
      <c r="G90" s="128" t="e">
        <f>G91+G97+G117+G120+#REF!</f>
        <v>#REF!</v>
      </c>
    </row>
    <row r="91" spans="1:7" s="38" customFormat="1" ht="27.75" customHeight="1" x14ac:dyDescent="0.2">
      <c r="A91" s="20" t="s">
        <v>5</v>
      </c>
      <c r="B91" s="112" t="s">
        <v>130</v>
      </c>
      <c r="C91" s="113">
        <f>C92+C95+C96</f>
        <v>53431708761</v>
      </c>
      <c r="D91" s="114"/>
      <c r="E91" s="115">
        <f>E92+E95+E96</f>
        <v>59392614619</v>
      </c>
      <c r="F91" s="147"/>
      <c r="G91" s="130">
        <f>G92+G95+G96</f>
        <v>59392614619</v>
      </c>
    </row>
    <row r="92" spans="1:7" ht="31.5" customHeight="1" x14ac:dyDescent="0.2">
      <c r="A92" s="5">
        <v>1</v>
      </c>
      <c r="B92" s="39" t="s">
        <v>238</v>
      </c>
      <c r="C92" s="40">
        <f>SUM(C93:C94)</f>
        <v>46366820000</v>
      </c>
      <c r="D92" s="41"/>
      <c r="E92" s="44">
        <f>E93+E94</f>
        <v>50602045000</v>
      </c>
      <c r="F92" s="42"/>
      <c r="G92" s="133">
        <f>G93+G94</f>
        <v>50602045000</v>
      </c>
    </row>
    <row r="93" spans="1:7" ht="126" hidden="1" x14ac:dyDescent="0.2">
      <c r="A93" s="9"/>
      <c r="B93" s="59" t="s">
        <v>167</v>
      </c>
      <c r="C93" s="60">
        <f>3747.58*5000000</f>
        <v>18737900000</v>
      </c>
      <c r="D93" s="61" t="s">
        <v>168</v>
      </c>
      <c r="E93" s="14">
        <f>3675.7*6250000</f>
        <v>22973125000</v>
      </c>
      <c r="F93" s="15" t="s">
        <v>226</v>
      </c>
      <c r="G93" s="136">
        <f>3675.7*6250000</f>
        <v>22973125000</v>
      </c>
    </row>
    <row r="94" spans="1:7" ht="126" hidden="1" x14ac:dyDescent="0.2">
      <c r="A94" s="5"/>
      <c r="B94" s="59" t="s">
        <v>169</v>
      </c>
      <c r="C94" s="62">
        <f>62793*440000</f>
        <v>27628920000</v>
      </c>
      <c r="D94" s="63" t="s">
        <v>170</v>
      </c>
      <c r="E94" s="14">
        <f>62793*440000</f>
        <v>27628920000</v>
      </c>
      <c r="F94" s="154" t="s">
        <v>228</v>
      </c>
      <c r="G94" s="137">
        <f>E94</f>
        <v>27628920000</v>
      </c>
    </row>
    <row r="95" spans="1:7" ht="20.25" customHeight="1" x14ac:dyDescent="0.2">
      <c r="A95" s="5">
        <v>2</v>
      </c>
      <c r="B95" s="39" t="s">
        <v>171</v>
      </c>
      <c r="C95" s="40">
        <f>(C7+C93+C94)*2%-C9</f>
        <v>4312518761</v>
      </c>
      <c r="D95" s="63" t="s">
        <v>172</v>
      </c>
      <c r="E95" s="12">
        <f>0.02*(224829125000+22973125000-28138987400)-355065633</f>
        <v>4038199619</v>
      </c>
      <c r="F95" s="30" t="s">
        <v>173</v>
      </c>
      <c r="G95" s="138">
        <f>E95</f>
        <v>4038199619</v>
      </c>
    </row>
    <row r="96" spans="1:7" ht="25.5" customHeight="1" x14ac:dyDescent="0.2">
      <c r="A96" s="5">
        <v>3</v>
      </c>
      <c r="B96" s="39" t="s">
        <v>174</v>
      </c>
      <c r="C96" s="41">
        <v>2752370000</v>
      </c>
      <c r="D96" s="63" t="s">
        <v>175</v>
      </c>
      <c r="E96" s="12">
        <f>25615*150000+4550.6*200000</f>
        <v>4752370000</v>
      </c>
      <c r="F96" s="26" t="s">
        <v>176</v>
      </c>
      <c r="G96" s="138">
        <f>25615*150000+4550.6*200000</f>
        <v>4752370000</v>
      </c>
    </row>
    <row r="97" spans="1:9" s="38" customFormat="1" ht="31.5" x14ac:dyDescent="0.2">
      <c r="A97" s="20" t="s">
        <v>6</v>
      </c>
      <c r="B97" s="112" t="s">
        <v>177</v>
      </c>
      <c r="C97" s="115">
        <f>C98+C99+C103+C105+C106+C107+C110+C111+C112+C113+C114</f>
        <v>302755868051.19995</v>
      </c>
      <c r="D97" s="119"/>
      <c r="E97" s="115">
        <f>E98+E99+E103+E105+E106+E107+E110+E111+E112+E113+E114+E104</f>
        <v>368981386047.79498</v>
      </c>
      <c r="F97" s="147"/>
      <c r="G97" s="130" t="e">
        <f>G98+G99+G103+G105+G106+#REF!+G107+G110+G111+G112+G113+G114+#REF!+#REF!</f>
        <v>#REF!</v>
      </c>
      <c r="H97" s="96"/>
      <c r="I97" s="97"/>
    </row>
    <row r="98" spans="1:9" ht="25.5" customHeight="1" x14ac:dyDescent="0.2">
      <c r="A98" s="5">
        <v>1</v>
      </c>
      <c r="B98" s="39" t="s">
        <v>178</v>
      </c>
      <c r="C98" s="40">
        <f>24957649846*1.15</f>
        <v>28701297322.899998</v>
      </c>
      <c r="D98" s="64"/>
      <c r="E98" s="23">
        <f>28701297323*1.255</f>
        <v>36020128140.364998</v>
      </c>
      <c r="F98" s="27" t="s">
        <v>229</v>
      </c>
      <c r="G98" s="133">
        <f>C98*1.085</f>
        <v>31140907595.346497</v>
      </c>
    </row>
    <row r="99" spans="1:9" ht="24" customHeight="1" x14ac:dyDescent="0.2">
      <c r="A99" s="5">
        <v>2</v>
      </c>
      <c r="B99" s="39" t="s">
        <v>239</v>
      </c>
      <c r="C99" s="45">
        <f>C100+C101+C102</f>
        <v>58624716099.999992</v>
      </c>
      <c r="D99" s="65"/>
      <c r="E99" s="23">
        <f>58624716100*1.255</f>
        <v>73574018705.5</v>
      </c>
      <c r="F99" s="27" t="s">
        <v>230</v>
      </c>
      <c r="G99" s="133">
        <f>C99*1.085</f>
        <v>63607816968.499992</v>
      </c>
    </row>
    <row r="100" spans="1:9" ht="48.75" hidden="1" customHeight="1" x14ac:dyDescent="0.2">
      <c r="A100" s="5" t="s">
        <v>69</v>
      </c>
      <c r="B100" s="59" t="s">
        <v>179</v>
      </c>
      <c r="C100" s="45">
        <f>29059810000*1.15</f>
        <v>33418781499.999996</v>
      </c>
      <c r="D100" s="66"/>
      <c r="E100" s="43"/>
      <c r="F100" s="42"/>
      <c r="G100" s="131"/>
    </row>
    <row r="101" spans="1:9" hidden="1" x14ac:dyDescent="0.2">
      <c r="A101" s="5" t="s">
        <v>69</v>
      </c>
      <c r="B101" s="59" t="s">
        <v>180</v>
      </c>
      <c r="C101" s="95">
        <f>5869437000*1.15</f>
        <v>6749852549.999999</v>
      </c>
      <c r="D101" s="67"/>
      <c r="E101" s="43"/>
      <c r="F101" s="42"/>
      <c r="G101" s="131"/>
    </row>
    <row r="102" spans="1:9" hidden="1" x14ac:dyDescent="0.2">
      <c r="A102" s="5" t="s">
        <v>69</v>
      </c>
      <c r="B102" s="59" t="s">
        <v>181</v>
      </c>
      <c r="C102" s="95">
        <f>16048767000*1.15</f>
        <v>18456082050</v>
      </c>
      <c r="D102" s="68"/>
      <c r="E102" s="43"/>
      <c r="F102" s="42"/>
      <c r="G102" s="131"/>
    </row>
    <row r="103" spans="1:9" ht="27.75" customHeight="1" x14ac:dyDescent="0.2">
      <c r="A103" s="5">
        <v>3</v>
      </c>
      <c r="B103" s="39" t="s">
        <v>182</v>
      </c>
      <c r="C103" s="40">
        <f>5054598000*1.15</f>
        <v>5812787700</v>
      </c>
      <c r="D103" s="41"/>
      <c r="E103" s="44">
        <f>5812787700*1.26</f>
        <v>7324112502</v>
      </c>
      <c r="F103" s="29" t="s">
        <v>231</v>
      </c>
      <c r="G103" s="165">
        <f>(C104+C103)*1.0866</f>
        <v>15732834947.85</v>
      </c>
    </row>
    <row r="104" spans="1:9" ht="29.25" customHeight="1" x14ac:dyDescent="0.2">
      <c r="A104" s="5">
        <v>4</v>
      </c>
      <c r="B104" s="39" t="s">
        <v>183</v>
      </c>
      <c r="C104" s="40">
        <f>7101017000*1.15+500000000</f>
        <v>8666169550</v>
      </c>
      <c r="D104" s="41"/>
      <c r="E104" s="4">
        <f>8666169550*1.26</f>
        <v>10919373633</v>
      </c>
      <c r="F104" s="29" t="s">
        <v>232</v>
      </c>
      <c r="G104" s="166"/>
    </row>
    <row r="105" spans="1:9" ht="27" customHeight="1" x14ac:dyDescent="0.2">
      <c r="A105" s="5">
        <v>5</v>
      </c>
      <c r="B105" s="39" t="s">
        <v>184</v>
      </c>
      <c r="C105" s="40">
        <f>680874000*1.15</f>
        <v>783005099.99999988</v>
      </c>
      <c r="D105" s="41"/>
      <c r="E105" s="23">
        <f>783005100*1.401</f>
        <v>1096990145.0999999</v>
      </c>
      <c r="F105" s="27" t="s">
        <v>233</v>
      </c>
      <c r="G105" s="133">
        <f>C105*1.1335</f>
        <v>887536280.84999979</v>
      </c>
    </row>
    <row r="106" spans="1:9" ht="26.25" customHeight="1" x14ac:dyDescent="0.2">
      <c r="A106" s="5">
        <v>6</v>
      </c>
      <c r="B106" s="39" t="s">
        <v>4</v>
      </c>
      <c r="C106" s="45">
        <f>(11385531000+420748000)*1.15</f>
        <v>13577220849.999998</v>
      </c>
      <c r="D106" s="45"/>
      <c r="E106" s="23">
        <f>13577220850*1.402</f>
        <v>19035263631.699997</v>
      </c>
      <c r="F106" s="27" t="s">
        <v>234</v>
      </c>
      <c r="G106" s="133">
        <f>C106*1.134</f>
        <v>15396568443.899996</v>
      </c>
    </row>
    <row r="107" spans="1:9" ht="27.75" customHeight="1" x14ac:dyDescent="0.2">
      <c r="A107" s="5">
        <v>7</v>
      </c>
      <c r="B107" s="69" t="s">
        <v>240</v>
      </c>
      <c r="C107" s="40">
        <f>C108+C109</f>
        <v>23185405254</v>
      </c>
      <c r="D107" s="62"/>
      <c r="E107" s="23">
        <f>23185405254*1.095</f>
        <v>25388018753.130001</v>
      </c>
      <c r="F107" s="27" t="s">
        <v>235</v>
      </c>
      <c r="G107" s="133">
        <f>C107*1.0315</f>
        <v>23915745519.501003</v>
      </c>
    </row>
    <row r="108" spans="1:9" hidden="1" x14ac:dyDescent="0.2">
      <c r="A108" s="71" t="s">
        <v>69</v>
      </c>
      <c r="B108" s="72" t="s">
        <v>186</v>
      </c>
      <c r="C108" s="73">
        <f>15045151000*1.15</f>
        <v>17301923650</v>
      </c>
      <c r="D108" s="60"/>
      <c r="E108" s="43"/>
      <c r="F108" s="155"/>
      <c r="G108" s="131"/>
    </row>
    <row r="109" spans="1:9" hidden="1" x14ac:dyDescent="0.2">
      <c r="A109" s="71" t="s">
        <v>69</v>
      </c>
      <c r="B109" s="72" t="s">
        <v>187</v>
      </c>
      <c r="C109" s="73">
        <f>5116070960*1.15</f>
        <v>5883481604</v>
      </c>
      <c r="D109" s="60"/>
      <c r="E109" s="43"/>
      <c r="F109" s="42"/>
      <c r="G109" s="131"/>
    </row>
    <row r="110" spans="1:9" ht="35.25" customHeight="1" x14ac:dyDescent="0.2">
      <c r="A110" s="5">
        <v>8</v>
      </c>
      <c r="B110" s="39" t="s">
        <v>188</v>
      </c>
      <c r="C110" s="45">
        <v>300000000</v>
      </c>
      <c r="D110" s="70" t="s">
        <v>185</v>
      </c>
      <c r="E110" s="23">
        <f>300000000*1.3</f>
        <v>390000000</v>
      </c>
      <c r="F110" s="25" t="s">
        <v>81</v>
      </c>
      <c r="G110" s="139">
        <f>+C110*1.1</f>
        <v>330000000</v>
      </c>
    </row>
    <row r="111" spans="1:9" ht="26.25" customHeight="1" x14ac:dyDescent="0.2">
      <c r="A111" s="5">
        <v>9</v>
      </c>
      <c r="B111" s="74" t="s">
        <v>189</v>
      </c>
      <c r="C111" s="45">
        <f>(14812113261+26195474021)*1.15</f>
        <v>47158725374.299995</v>
      </c>
      <c r="D111" s="45"/>
      <c r="E111" s="23">
        <f>19882000*1.173*2000</f>
        <v>46643172000</v>
      </c>
      <c r="F111" s="27" t="s">
        <v>85</v>
      </c>
      <c r="G111" s="140">
        <f>19882000*1.173*2000</f>
        <v>46643172000</v>
      </c>
    </row>
    <row r="112" spans="1:9" ht="26.25" customHeight="1" x14ac:dyDescent="0.2">
      <c r="A112" s="5">
        <v>10</v>
      </c>
      <c r="B112" s="39" t="s">
        <v>190</v>
      </c>
      <c r="C112" s="45">
        <v>4500000000</v>
      </c>
      <c r="D112" s="98" t="s">
        <v>185</v>
      </c>
      <c r="E112" s="23">
        <f>5100000000*1.05*1.063</f>
        <v>5692365000</v>
      </c>
      <c r="F112" s="27" t="s">
        <v>191</v>
      </c>
      <c r="G112" s="140">
        <f>5100000000*1.05*1.021</f>
        <v>5467454999.999999</v>
      </c>
    </row>
    <row r="113" spans="1:7" ht="28.5" customHeight="1" x14ac:dyDescent="0.2">
      <c r="A113" s="5">
        <v>11</v>
      </c>
      <c r="B113" s="39" t="s">
        <v>192</v>
      </c>
      <c r="C113" s="45">
        <f>2*24.5*3*13.25*34940000</f>
        <v>68054385000</v>
      </c>
      <c r="D113" s="75" t="s">
        <v>193</v>
      </c>
      <c r="E113" s="23">
        <f>2*13.25*3*24.5*29526000*1.308</f>
        <v>75222120582</v>
      </c>
      <c r="F113" s="27" t="s">
        <v>84</v>
      </c>
      <c r="G113" s="139">
        <f>2*13.25*3*24.5*29526000*1.1025</f>
        <v>63403966316.25</v>
      </c>
    </row>
    <row r="114" spans="1:7" ht="30.75" customHeight="1" x14ac:dyDescent="0.2">
      <c r="A114" s="5">
        <v>12</v>
      </c>
      <c r="B114" s="39" t="s">
        <v>241</v>
      </c>
      <c r="C114" s="41">
        <f>C115+C116</f>
        <v>52058325350</v>
      </c>
      <c r="D114" s="41"/>
      <c r="E114" s="23">
        <f>52058325350*1.3</f>
        <v>67675822955</v>
      </c>
      <c r="F114" s="27" t="s">
        <v>236</v>
      </c>
      <c r="G114" s="140">
        <f>C114*1.1</f>
        <v>57264157885.000008</v>
      </c>
    </row>
    <row r="115" spans="1:7" s="8" customFormat="1" hidden="1" x14ac:dyDescent="0.2">
      <c r="A115" s="9"/>
      <c r="B115" s="59" t="s">
        <v>194</v>
      </c>
      <c r="C115" s="60">
        <f>25436061000*1.15</f>
        <v>29251470149.999996</v>
      </c>
      <c r="D115" s="60"/>
      <c r="E115" s="56"/>
      <c r="F115" s="148"/>
      <c r="G115" s="132"/>
    </row>
    <row r="116" spans="1:7" s="8" customFormat="1" hidden="1" x14ac:dyDescent="0.2">
      <c r="A116" s="9"/>
      <c r="B116" s="59" t="s">
        <v>195</v>
      </c>
      <c r="C116" s="60">
        <f>19832048000*1.15</f>
        <v>22806855200</v>
      </c>
      <c r="D116" s="60"/>
      <c r="E116" s="56"/>
      <c r="F116" s="148"/>
      <c r="G116" s="132"/>
    </row>
    <row r="117" spans="1:7" s="38" customFormat="1" ht="41.25" customHeight="1" x14ac:dyDescent="0.2">
      <c r="A117" s="20" t="s">
        <v>7</v>
      </c>
      <c r="B117" s="112" t="s">
        <v>196</v>
      </c>
      <c r="C117" s="113">
        <v>35472481932</v>
      </c>
      <c r="D117" s="120" t="s">
        <v>197</v>
      </c>
      <c r="E117" s="115">
        <f>E118+E119</f>
        <v>40074508066.679497</v>
      </c>
      <c r="F117" s="156" t="s">
        <v>197</v>
      </c>
      <c r="G117" s="130" t="e">
        <f>G118+G119</f>
        <v>#REF!</v>
      </c>
    </row>
    <row r="118" spans="1:7" ht="33" customHeight="1" x14ac:dyDescent="0.2">
      <c r="A118" s="5">
        <v>1</v>
      </c>
      <c r="B118" s="39" t="s">
        <v>198</v>
      </c>
      <c r="C118" s="40"/>
      <c r="D118" s="63" t="s">
        <v>197</v>
      </c>
      <c r="E118" s="21">
        <f>0.05*(E91-E94+E97)</f>
        <v>20037254033.339748</v>
      </c>
      <c r="F118" s="28" t="s">
        <v>82</v>
      </c>
      <c r="G118" s="141" t="e">
        <f>0.05*(G91-G94+G97)</f>
        <v>#REF!</v>
      </c>
    </row>
    <row r="119" spans="1:7" ht="31.5" x14ac:dyDescent="0.2">
      <c r="A119" s="5">
        <v>2</v>
      </c>
      <c r="B119" s="39" t="s">
        <v>199</v>
      </c>
      <c r="C119" s="40"/>
      <c r="D119" s="70" t="s">
        <v>200</v>
      </c>
      <c r="E119" s="21">
        <f>E118</f>
        <v>20037254033.339748</v>
      </c>
      <c r="F119" s="31" t="s">
        <v>83</v>
      </c>
      <c r="G119" s="141" t="e">
        <f>G118</f>
        <v>#REF!</v>
      </c>
    </row>
    <row r="120" spans="1:7" s="57" customFormat="1" ht="41.25" customHeight="1" x14ac:dyDescent="0.2">
      <c r="A120" s="121" t="s">
        <v>9</v>
      </c>
      <c r="B120" s="122" t="s">
        <v>201</v>
      </c>
      <c r="C120" s="123"/>
      <c r="D120" s="124"/>
      <c r="E120" s="22">
        <v>34398467310</v>
      </c>
      <c r="F120" s="157" t="s">
        <v>202</v>
      </c>
      <c r="G120" s="130">
        <f>E120</f>
        <v>34398467310</v>
      </c>
    </row>
    <row r="121" spans="1:7" s="57" customFormat="1" ht="31.5" x14ac:dyDescent="0.2">
      <c r="A121" s="17" t="s">
        <v>203</v>
      </c>
      <c r="B121" s="11" t="s">
        <v>204</v>
      </c>
      <c r="C121" s="90">
        <f>C122+C127+C130</f>
        <v>83843941610</v>
      </c>
      <c r="D121" s="93"/>
      <c r="E121" s="90">
        <f>E122+E127+E130</f>
        <v>147362590556.87</v>
      </c>
      <c r="F121" s="158"/>
      <c r="G121" s="142">
        <f>G122+G127+G130</f>
        <v>118212326212.888</v>
      </c>
    </row>
    <row r="122" spans="1:7" s="57" customFormat="1" ht="27" customHeight="1" x14ac:dyDescent="0.2">
      <c r="A122" s="121" t="s">
        <v>5</v>
      </c>
      <c r="B122" s="125" t="s">
        <v>130</v>
      </c>
      <c r="C122" s="22">
        <f>C123+C126</f>
        <v>40710000000</v>
      </c>
      <c r="D122" s="22"/>
      <c r="E122" s="22">
        <f>E123+E126</f>
        <v>69324918353.580002</v>
      </c>
      <c r="F122" s="146"/>
      <c r="G122" s="129">
        <f>G123+G126</f>
        <v>69324918353.580002</v>
      </c>
    </row>
    <row r="123" spans="1:7" ht="28.5" customHeight="1" x14ac:dyDescent="0.2">
      <c r="A123" s="5">
        <v>1</v>
      </c>
      <c r="B123" s="18" t="s">
        <v>13</v>
      </c>
      <c r="C123" s="4">
        <f>C124+C125</f>
        <v>40710000000</v>
      </c>
      <c r="D123" s="4"/>
      <c r="E123" s="4">
        <f>E124+E125</f>
        <v>67965606229</v>
      </c>
      <c r="F123" s="13"/>
      <c r="G123" s="133">
        <f>G124+G125</f>
        <v>67965606229</v>
      </c>
    </row>
    <row r="124" spans="1:7" ht="53.25" hidden="1" customHeight="1" x14ac:dyDescent="0.2">
      <c r="A124" s="9"/>
      <c r="B124" s="6" t="s">
        <v>86</v>
      </c>
      <c r="C124" s="7">
        <f>17000*330000</f>
        <v>5610000000</v>
      </c>
      <c r="D124" s="14" t="s">
        <v>89</v>
      </c>
      <c r="E124" s="7">
        <f>17181*603609</f>
        <v>10370606229</v>
      </c>
      <c r="F124" s="15" t="s">
        <v>91</v>
      </c>
      <c r="G124" s="143">
        <f>E124</f>
        <v>10370606229</v>
      </c>
    </row>
    <row r="125" spans="1:7" ht="157.5" hidden="1" x14ac:dyDescent="0.2">
      <c r="A125" s="9"/>
      <c r="B125" s="6" t="s">
        <v>87</v>
      </c>
      <c r="C125" s="7">
        <f>11700*3000000</f>
        <v>35100000000</v>
      </c>
      <c r="D125" s="14" t="s">
        <v>90</v>
      </c>
      <c r="E125" s="7">
        <f>11519*5000000</f>
        <v>57595000000</v>
      </c>
      <c r="F125" s="80" t="s">
        <v>205</v>
      </c>
      <c r="G125" s="143">
        <f>E125</f>
        <v>57595000000</v>
      </c>
    </row>
    <row r="126" spans="1:7" ht="27" customHeight="1" x14ac:dyDescent="0.2">
      <c r="A126" s="5">
        <v>2</v>
      </c>
      <c r="B126" s="18" t="s">
        <v>2</v>
      </c>
      <c r="C126" s="4"/>
      <c r="D126" s="4"/>
      <c r="E126" s="4">
        <f>E123*0.02</f>
        <v>1359312124.5799999</v>
      </c>
      <c r="F126" s="28" t="s">
        <v>206</v>
      </c>
      <c r="G126" s="139">
        <f>G123*0.02</f>
        <v>1359312124.5799999</v>
      </c>
    </row>
    <row r="127" spans="1:7" s="57" customFormat="1" ht="18" customHeight="1" x14ac:dyDescent="0.2">
      <c r="A127" s="20" t="s">
        <v>6</v>
      </c>
      <c r="B127" s="125" t="s">
        <v>207</v>
      </c>
      <c r="C127" s="22">
        <f>C128</f>
        <v>36021765100</v>
      </c>
      <c r="D127" s="22"/>
      <c r="E127" s="22">
        <f>E128+E129</f>
        <v>65602711093.899994</v>
      </c>
      <c r="F127" s="147"/>
      <c r="G127" s="129">
        <f>G128</f>
        <v>39083615133.5</v>
      </c>
    </row>
    <row r="128" spans="1:7" ht="26.25" customHeight="1" x14ac:dyDescent="0.2">
      <c r="A128" s="5">
        <v>1</v>
      </c>
      <c r="B128" s="18" t="s">
        <v>88</v>
      </c>
      <c r="C128" s="4">
        <v>36021765100</v>
      </c>
      <c r="D128" s="4" t="s">
        <v>92</v>
      </c>
      <c r="E128" s="19">
        <f>C128*1.255</f>
        <v>45207315200.499992</v>
      </c>
      <c r="F128" s="30" t="s">
        <v>94</v>
      </c>
      <c r="G128" s="133">
        <f>C128*1.085</f>
        <v>39083615133.5</v>
      </c>
    </row>
    <row r="129" spans="1:7" s="57" customFormat="1" ht="29.25" customHeight="1" x14ac:dyDescent="0.2">
      <c r="A129" s="103">
        <v>2</v>
      </c>
      <c r="B129" s="104" t="s">
        <v>209</v>
      </c>
      <c r="C129" s="21"/>
      <c r="D129" s="21"/>
      <c r="E129" s="76">
        <f>0.68*29993229255</f>
        <v>20395395893.400002</v>
      </c>
      <c r="F129" s="157" t="s">
        <v>210</v>
      </c>
      <c r="G129" s="144"/>
    </row>
    <row r="130" spans="1:7" s="57" customFormat="1" ht="24.75" customHeight="1" x14ac:dyDescent="0.2">
      <c r="A130" s="20" t="s">
        <v>7</v>
      </c>
      <c r="B130" s="126" t="s">
        <v>196</v>
      </c>
      <c r="C130" s="22">
        <f>C131</f>
        <v>7112176510</v>
      </c>
      <c r="D130" s="21" t="s">
        <v>93</v>
      </c>
      <c r="E130" s="22">
        <f>0.1*(E125*1.02+E127)</f>
        <v>12434961109.389999</v>
      </c>
      <c r="F130" s="159" t="s">
        <v>93</v>
      </c>
      <c r="G130" s="129">
        <f>G131+G132</f>
        <v>9803792725.8080006</v>
      </c>
    </row>
    <row r="131" spans="1:7" hidden="1" x14ac:dyDescent="0.2">
      <c r="A131" s="20"/>
      <c r="B131" s="24" t="s">
        <v>70</v>
      </c>
      <c r="C131" s="21">
        <f>0.1*(C125+C127)</f>
        <v>7112176510</v>
      </c>
      <c r="D131" s="21" t="s">
        <v>93</v>
      </c>
      <c r="E131" s="21">
        <f>0.05*(E122-E124+E127)</f>
        <v>6227851160.9239998</v>
      </c>
      <c r="F131" s="28" t="s">
        <v>95</v>
      </c>
      <c r="G131" s="141">
        <f>0.05*(G122-G124+G127)</f>
        <v>4901896362.9040003</v>
      </c>
    </row>
    <row r="132" spans="1:7" hidden="1" x14ac:dyDescent="0.2">
      <c r="A132" s="20"/>
      <c r="B132" s="24" t="s">
        <v>71</v>
      </c>
      <c r="C132" s="22"/>
      <c r="D132" s="22"/>
      <c r="E132" s="21">
        <f>E131</f>
        <v>6227851160.9239998</v>
      </c>
      <c r="F132" s="31" t="s">
        <v>83</v>
      </c>
      <c r="G132" s="141">
        <f>G131</f>
        <v>4901896362.9040003</v>
      </c>
    </row>
    <row r="133" spans="1:7" s="3" customFormat="1" ht="33.75" customHeight="1" thickBot="1" x14ac:dyDescent="0.25">
      <c r="A133" s="32"/>
      <c r="B133" s="94" t="s">
        <v>208</v>
      </c>
      <c r="C133" s="34" t="e">
        <f>C4+C90+C121</f>
        <v>#REF!</v>
      </c>
      <c r="D133" s="34"/>
      <c r="E133" s="34">
        <f>E4+E90+E121</f>
        <v>1032972325473.3445</v>
      </c>
      <c r="F133" s="160"/>
      <c r="G133" s="145" t="e">
        <f>G4+G90+G121</f>
        <v>#REF!</v>
      </c>
    </row>
  </sheetData>
  <mergeCells count="5">
    <mergeCell ref="A1:F1"/>
    <mergeCell ref="F19:F30"/>
    <mergeCell ref="G103:G104"/>
    <mergeCell ref="C3:D3"/>
    <mergeCell ref="E3:F3"/>
  </mergeCells>
  <printOptions gridLines="1"/>
  <pageMargins left="0.86614173228346458" right="0.15748031496062992" top="0.55118110236220474" bottom="0.59055118110236227" header="0.47244094488188981" footer="0.23622047244094491"/>
  <pageSetup paperSize="9" scale="57" fitToHeight="0" orientation="portrait" r:id="rId1"/>
  <headerFooter alignWithMargins="0">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ms.Ánh</vt:lpstr>
      <vt:lpstr>ms.Ánh!Print_Titles</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Nguyễn Đình Tấn</cp:lastModifiedBy>
  <cp:lastPrinted>2024-06-03T03:52:01Z</cp:lastPrinted>
  <dcterms:created xsi:type="dcterms:W3CDTF">2011-04-13T07:48:47Z</dcterms:created>
  <dcterms:modified xsi:type="dcterms:W3CDTF">2024-06-03T08:37:44Z</dcterms:modified>
</cp:coreProperties>
</file>