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xr:revisionPtr revIDLastSave="0" documentId="13_ncr:1_{6F1C2D57-7A2D-4E15-9FB9-817CBAA4BA6F}" xr6:coauthVersionLast="36" xr6:coauthVersionMax="36" xr10:uidLastSave="{00000000-0000-0000-0000-000000000000}"/>
  <bookViews>
    <workbookView xWindow="0" yWindow="0" windowWidth="22260" windowHeight="12645" activeTab="1" xr2:uid="{00000000-000D-0000-FFFF-FFFF00000000}"/>
  </bookViews>
  <sheets>
    <sheet name="HQ11-01-16" sheetId="1" r:id="rId1"/>
    <sheet name="HQ11-99-56" sheetId="2" r:id="rId2"/>
    <sheet name="HQ11-91-66" sheetId="3" r:id="rId3"/>
    <sheet name="HQ11-91-86" sheetId="5" r:id="rId4"/>
    <sheet name="HQ11-91-96" sheetId="6" r:id="rId5"/>
    <sheet name="HQ11-91-63" sheetId="7" r:id="rId6"/>
    <sheet name="HQ11-91-87" sheetId="9" r:id="rId7"/>
    <sheet name="HQ11-91-60" sheetId="10" r:id="rId8"/>
    <sheet name="HQ11-91-61" sheetId="11" r:id="rId9"/>
  </sheets>
  <definedNames>
    <definedName name="_xlnm._FilterDatabase" localSheetId="4" hidden="1">'HQ11-91-96'!$A$9:$I$343</definedName>
    <definedName name="_xlnm._FilterDatabase" localSheetId="1" hidden="1">'HQ11-99-56'!$A$9:$J$215</definedName>
    <definedName name="_xlnm.Print_Area" localSheetId="0">'HQ11-01-16'!$A$1:$F$132</definedName>
    <definedName name="_xlnm.Print_Area" localSheetId="7">'HQ11-91-60'!$A$1:$F$189</definedName>
    <definedName name="_xlnm.Print_Area" localSheetId="2">'HQ11-91-66'!$A$1:$F$147</definedName>
    <definedName name="_xlnm.Print_Area" localSheetId="3">'HQ11-91-86'!$A$1:$F$236</definedName>
    <definedName name="_xlnm.Print_Area" localSheetId="1">'HQ11-99-56'!$A$1:$F$215</definedName>
    <definedName name="_xlnm.Print_Titles" localSheetId="0">'HQ11-01-16'!$9:$9</definedName>
    <definedName name="_xlnm.Print_Titles" localSheetId="1">'HQ11-99-56'!$9:$9</definedName>
  </definedNames>
  <calcPr calcId="191029"/>
</workbook>
</file>

<file path=xl/calcChain.xml><?xml version="1.0" encoding="utf-8"?>
<calcChain xmlns="http://schemas.openxmlformats.org/spreadsheetml/2006/main">
  <c r="H163" i="7" l="1"/>
  <c r="H162" i="7"/>
  <c r="H161" i="7"/>
  <c r="H160" i="7"/>
  <c r="H159" i="7"/>
  <c r="H158"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0" i="7"/>
  <c r="H79" i="7"/>
  <c r="H78" i="7"/>
  <c r="H77" i="7"/>
  <c r="H76" i="7"/>
  <c r="H75" i="7"/>
  <c r="H74" i="7"/>
  <c r="H73" i="7"/>
  <c r="H72" i="7"/>
  <c r="H70" i="7"/>
  <c r="F69" i="7"/>
  <c r="H69" i="7" s="1"/>
  <c r="F68" i="7"/>
  <c r="H68" i="7" s="1"/>
  <c r="H67" i="7"/>
  <c r="F66" i="7"/>
  <c r="H66" i="7" s="1"/>
  <c r="H62" i="7"/>
  <c r="H61" i="7"/>
  <c r="H60" i="7"/>
  <c r="H59" i="7"/>
  <c r="H58" i="7"/>
  <c r="H57" i="7"/>
  <c r="H56" i="7"/>
  <c r="H55" i="7"/>
  <c r="H54" i="7"/>
  <c r="H53" i="7"/>
  <c r="H52" i="7"/>
  <c r="H51" i="7"/>
  <c r="H50" i="7"/>
  <c r="H49" i="7"/>
  <c r="H48" i="7"/>
  <c r="H47" i="7"/>
  <c r="H46" i="7"/>
  <c r="F46" i="7"/>
  <c r="H45" i="7"/>
  <c r="H44" i="7"/>
  <c r="H43" i="7"/>
  <c r="H42" i="7"/>
  <c r="H41" i="7"/>
  <c r="H40" i="7"/>
  <c r="H39" i="7"/>
  <c r="H38" i="7"/>
  <c r="H37" i="7"/>
  <c r="H36" i="7"/>
  <c r="H35" i="7"/>
  <c r="H34" i="7"/>
  <c r="G33" i="7"/>
  <c r="H33" i="7" s="1"/>
  <c r="H32" i="7"/>
  <c r="H31" i="7"/>
  <c r="H30" i="7"/>
  <c r="H29" i="7"/>
  <c r="H28" i="7"/>
  <c r="H27" i="7"/>
  <c r="H26" i="7"/>
  <c r="H25" i="7"/>
  <c r="H24" i="7"/>
  <c r="H23" i="7"/>
  <c r="H22" i="7"/>
  <c r="H21" i="7"/>
  <c r="H20" i="7"/>
  <c r="H19" i="7"/>
  <c r="H18" i="7"/>
  <c r="H17" i="7"/>
  <c r="H16" i="7"/>
  <c r="F15" i="7"/>
  <c r="H15" i="7" s="1"/>
  <c r="H14" i="7"/>
  <c r="H13" i="7"/>
  <c r="G215" i="9" l="1"/>
  <c r="H215" i="9" s="1"/>
  <c r="G214" i="9"/>
  <c r="H214" i="9" s="1"/>
  <c r="G213" i="9"/>
  <c r="H213" i="9" s="1"/>
  <c r="H211" i="9" s="1"/>
  <c r="H209" i="9"/>
  <c r="H208" i="9"/>
  <c r="H206" i="9"/>
  <c r="H205" i="9"/>
  <c r="H204" i="9"/>
  <c r="H203" i="9"/>
  <c r="H202" i="9"/>
  <c r="H201" i="9"/>
  <c r="H200" i="9"/>
  <c r="H198" i="9"/>
  <c r="H197" i="9"/>
  <c r="H196" i="9"/>
  <c r="H195" i="9"/>
  <c r="H194" i="9"/>
  <c r="H193" i="9"/>
  <c r="H192" i="9"/>
  <c r="H190" i="9"/>
  <c r="H189" i="9"/>
  <c r="H188" i="9"/>
  <c r="H187" i="9"/>
  <c r="H186" i="9"/>
  <c r="H185" i="9"/>
  <c r="H184" i="9"/>
  <c r="H183" i="9"/>
  <c r="H181" i="9"/>
  <c r="H179" i="9"/>
  <c r="H177" i="9"/>
  <c r="H176" i="9"/>
  <c r="H175" i="9"/>
  <c r="H173" i="9"/>
  <c r="H172" i="9"/>
  <c r="H171" i="9"/>
  <c r="H168" i="9"/>
  <c r="H163" i="9"/>
  <c r="H162" i="9"/>
  <c r="H161" i="9"/>
  <c r="H160" i="9"/>
  <c r="H159" i="9"/>
  <c r="H158" i="9"/>
  <c r="H157" i="9"/>
  <c r="H156" i="9"/>
  <c r="H155" i="9"/>
  <c r="H154" i="9"/>
  <c r="H152" i="9" s="1"/>
  <c r="H151" i="9" s="1"/>
  <c r="H153" i="9"/>
  <c r="H149" i="9"/>
  <c r="H148" i="9"/>
  <c r="H147" i="9"/>
  <c r="H146" i="9"/>
  <c r="H145" i="9"/>
  <c r="H144" i="9"/>
  <c r="H143" i="9"/>
  <c r="H142" i="9"/>
  <c r="H141" i="9"/>
  <c r="H140" i="9"/>
  <c r="H139" i="9"/>
  <c r="H138" i="9"/>
  <c r="H137" i="9"/>
  <c r="H136" i="9"/>
  <c r="H135" i="9"/>
  <c r="H134" i="9"/>
  <c r="H132" i="9"/>
  <c r="H131" i="9"/>
  <c r="H128" i="9"/>
  <c r="H127" i="9"/>
  <c r="H126" i="9"/>
  <c r="H125" i="9"/>
  <c r="H124" i="9"/>
  <c r="H123" i="9"/>
  <c r="H122" i="9"/>
  <c r="H121" i="9"/>
  <c r="H120" i="9"/>
  <c r="H119" i="9"/>
  <c r="H118" i="9"/>
  <c r="H115" i="9"/>
  <c r="H114" i="9"/>
  <c r="H113" i="9"/>
  <c r="H112" i="9"/>
  <c r="H110" i="9"/>
  <c r="H109" i="9"/>
  <c r="H108" i="9"/>
  <c r="H107" i="9"/>
  <c r="H106" i="9"/>
  <c r="H105" i="9"/>
  <c r="H103" i="9"/>
  <c r="H102" i="9"/>
  <c r="H101" i="9"/>
  <c r="G100" i="9"/>
  <c r="H100" i="9" s="1"/>
  <c r="H99" i="9"/>
  <c r="G99" i="9"/>
  <c r="G98" i="9"/>
  <c r="H98" i="9" s="1"/>
  <c r="H97" i="9"/>
  <c r="G97" i="9"/>
  <c r="G96" i="9"/>
  <c r="H96" i="9" s="1"/>
  <c r="H95" i="9"/>
  <c r="G95" i="9"/>
  <c r="G94" i="9"/>
  <c r="H94" i="9" s="1"/>
  <c r="H90" i="9"/>
  <c r="H89" i="9"/>
  <c r="H88" i="9"/>
  <c r="G87" i="9"/>
  <c r="H87" i="9" s="1"/>
  <c r="G86" i="9"/>
  <c r="H86" i="9" s="1"/>
  <c r="G85" i="9"/>
  <c r="H85" i="9" s="1"/>
  <c r="G84" i="9"/>
  <c r="H84" i="9" s="1"/>
  <c r="G83" i="9"/>
  <c r="H83" i="9" s="1"/>
  <c r="G82" i="9"/>
  <c r="H82" i="9" s="1"/>
  <c r="G81" i="9"/>
  <c r="H81" i="9" s="1"/>
  <c r="H76" i="9"/>
  <c r="H75" i="9"/>
  <c r="H73" i="9"/>
  <c r="H72" i="9"/>
  <c r="H70" i="9"/>
  <c r="H69" i="9"/>
  <c r="H68" i="9"/>
  <c r="H67" i="9"/>
  <c r="H66" i="9"/>
  <c r="H65" i="9"/>
  <c r="H64" i="9"/>
  <c r="H60" i="9"/>
  <c r="H59" i="9"/>
  <c r="H58" i="9"/>
  <c r="H57" i="9"/>
  <c r="H56" i="9"/>
  <c r="H55" i="9"/>
  <c r="H54" i="9"/>
  <c r="H53" i="9"/>
  <c r="H52" i="9"/>
  <c r="H51" i="9"/>
  <c r="H50" i="9"/>
  <c r="H49" i="9"/>
  <c r="H48" i="9"/>
  <c r="H47"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1" i="9" s="1"/>
  <c r="H61" i="9" l="1"/>
  <c r="H217" i="9" s="1"/>
  <c r="J197" i="5" l="1"/>
  <c r="H16" i="6" l="1"/>
  <c r="H17" i="6"/>
  <c r="H18" i="6"/>
  <c r="H19" i="6"/>
  <c r="H21" i="6"/>
  <c r="H22" i="6"/>
  <c r="H23" i="6"/>
  <c r="H24" i="6"/>
  <c r="H25" i="6"/>
  <c r="H26" i="6"/>
  <c r="H27" i="6"/>
  <c r="H29" i="6"/>
  <c r="H30" i="6"/>
  <c r="H31" i="6"/>
  <c r="H32" i="6"/>
  <c r="H33" i="6"/>
  <c r="H34" i="6"/>
  <c r="H36" i="6"/>
  <c r="H37" i="6"/>
  <c r="H41" i="6"/>
  <c r="H42" i="6"/>
  <c r="H44" i="6"/>
  <c r="H46" i="6"/>
  <c r="H47"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4" i="6"/>
  <c r="H85" i="6"/>
  <c r="H86" i="6"/>
  <c r="H88" i="6"/>
  <c r="H90" i="6"/>
  <c r="H91" i="6"/>
  <c r="H92" i="6"/>
  <c r="H93" i="6"/>
  <c r="H94" i="6"/>
  <c r="H95" i="6"/>
  <c r="H96" i="6"/>
  <c r="H97" i="6"/>
  <c r="H98" i="6"/>
  <c r="H99" i="6"/>
  <c r="H100" i="6"/>
  <c r="H101" i="6"/>
  <c r="H102" i="6"/>
  <c r="H104" i="6"/>
  <c r="H106" i="6"/>
  <c r="H108" i="6"/>
  <c r="H109" i="6"/>
  <c r="H110" i="6"/>
  <c r="H111" i="6"/>
  <c r="H112" i="6"/>
  <c r="H113" i="6"/>
  <c r="H114" i="6"/>
  <c r="H115" i="6"/>
  <c r="H116" i="6"/>
  <c r="H117" i="6"/>
  <c r="H118" i="6"/>
  <c r="H119" i="6"/>
  <c r="H120" i="6"/>
  <c r="H121" i="6"/>
  <c r="H122" i="6"/>
  <c r="H123" i="6"/>
  <c r="H126" i="6"/>
  <c r="H128" i="6"/>
  <c r="H129" i="6"/>
  <c r="H130" i="6"/>
  <c r="H132" i="6"/>
  <c r="H134" i="6"/>
  <c r="H135" i="6"/>
  <c r="H136" i="6"/>
  <c r="H138" i="6"/>
  <c r="H139" i="6"/>
  <c r="H140" i="6"/>
  <c r="H143" i="6"/>
  <c r="H144" i="6"/>
  <c r="H146" i="6"/>
  <c r="H147" i="6"/>
  <c r="H148" i="6"/>
  <c r="H150" i="6"/>
  <c r="H151" i="6"/>
  <c r="H152" i="6"/>
  <c r="H153" i="6"/>
  <c r="H154" i="6"/>
  <c r="H156" i="6"/>
  <c r="H157" i="6"/>
  <c r="H158" i="6"/>
  <c r="H160" i="6"/>
  <c r="H162" i="6"/>
  <c r="H163" i="6"/>
  <c r="H164" i="6"/>
  <c r="H166" i="6"/>
  <c r="H167" i="6"/>
  <c r="H168" i="6"/>
  <c r="H169" i="6"/>
  <c r="H170" i="6"/>
  <c r="H171" i="6"/>
  <c r="H172" i="6"/>
  <c r="H173" i="6"/>
  <c r="H174" i="6"/>
  <c r="H175" i="6"/>
  <c r="H178" i="6"/>
  <c r="H181" i="6"/>
  <c r="H182" i="6"/>
  <c r="H183" i="6"/>
  <c r="H184" i="6"/>
  <c r="H185" i="6"/>
  <c r="H186" i="6"/>
  <c r="H187" i="6"/>
  <c r="H188" i="6"/>
  <c r="H189" i="6"/>
  <c r="H190" i="6"/>
  <c r="H191" i="6"/>
  <c r="H194" i="6"/>
  <c r="H198" i="6"/>
  <c r="H199" i="6"/>
  <c r="H200" i="6"/>
  <c r="H201" i="6"/>
  <c r="H202" i="6"/>
  <c r="H203" i="6"/>
  <c r="H204" i="6"/>
  <c r="H205" i="6"/>
  <c r="H206" i="6"/>
  <c r="H207" i="6"/>
  <c r="H208" i="6"/>
  <c r="H209" i="6"/>
  <c r="H210" i="6"/>
  <c r="H211" i="6"/>
  <c r="H212" i="6"/>
  <c r="H214" i="6"/>
  <c r="H215" i="6"/>
  <c r="H216" i="6"/>
  <c r="H217" i="6"/>
  <c r="H218" i="6"/>
  <c r="H220" i="6"/>
  <c r="H221" i="6"/>
  <c r="H222" i="6"/>
  <c r="H223" i="6"/>
  <c r="H224" i="6"/>
  <c r="H226" i="6"/>
  <c r="H227" i="6"/>
  <c r="H228" i="6"/>
  <c r="H229" i="6"/>
  <c r="H231" i="6"/>
  <c r="H233" i="6"/>
  <c r="H235" i="6"/>
  <c r="H237" i="6"/>
  <c r="H239" i="6"/>
  <c r="H241" i="6"/>
  <c r="H242" i="6"/>
  <c r="H243" i="6"/>
  <c r="H244" i="6"/>
  <c r="H245" i="6"/>
  <c r="H249" i="6"/>
  <c r="H250" i="6"/>
  <c r="H251" i="6"/>
  <c r="H252" i="6"/>
  <c r="H253" i="6"/>
  <c r="H255" i="6"/>
  <c r="H256" i="6"/>
  <c r="H257" i="6"/>
  <c r="H258" i="6"/>
  <c r="H259" i="6"/>
  <c r="H261" i="6"/>
  <c r="H263" i="6"/>
  <c r="H264" i="6"/>
  <c r="H265" i="6"/>
  <c r="H267" i="6"/>
  <c r="H268" i="6"/>
  <c r="H269" i="6"/>
  <c r="H271" i="6"/>
  <c r="H273" i="6"/>
  <c r="H275" i="6"/>
  <c r="H276" i="6"/>
  <c r="H277" i="6"/>
  <c r="H288" i="6"/>
  <c r="H289" i="6"/>
  <c r="H290" i="6"/>
  <c r="H291" i="6"/>
  <c r="H293" i="6"/>
  <c r="H294" i="6"/>
  <c r="H295" i="6"/>
  <c r="H296" i="6"/>
  <c r="H297" i="6"/>
  <c r="H298" i="6"/>
  <c r="H299" i="6"/>
  <c r="H300" i="6"/>
  <c r="H301" i="6"/>
  <c r="H303" i="6"/>
  <c r="H304" i="6"/>
  <c r="H305" i="6"/>
  <c r="H306" i="6"/>
  <c r="H308" i="6"/>
  <c r="H309" i="6"/>
  <c r="H310" i="6"/>
  <c r="H311" i="6"/>
  <c r="H312" i="6"/>
  <c r="H313" i="6"/>
  <c r="H315" i="6"/>
  <c r="H316" i="6"/>
  <c r="H318" i="6"/>
  <c r="H319" i="6"/>
  <c r="H321" i="6"/>
  <c r="H322" i="6"/>
  <c r="H323" i="6"/>
  <c r="H324" i="6"/>
  <c r="H325" i="6"/>
  <c r="H326" i="6"/>
  <c r="H327" i="6"/>
  <c r="H328" i="6"/>
  <c r="H329" i="6"/>
  <c r="H330" i="6"/>
  <c r="H331" i="6"/>
  <c r="H332" i="6"/>
  <c r="H333" i="6"/>
  <c r="H334" i="6"/>
  <c r="H335" i="6"/>
  <c r="H336" i="6"/>
  <c r="H337" i="6"/>
  <c r="H338" i="6"/>
  <c r="H340" i="6"/>
  <c r="H341" i="6"/>
  <c r="H342" i="6"/>
  <c r="G339" i="6"/>
  <c r="H339" i="6" s="1"/>
  <c r="G323" i="6"/>
  <c r="G320" i="6"/>
  <c r="H320" i="6" s="1"/>
  <c r="G319" i="6"/>
  <c r="G317" i="6"/>
  <c r="H317" i="6" s="1"/>
  <c r="G315" i="6"/>
  <c r="G314" i="6"/>
  <c r="H314" i="6" s="1"/>
  <c r="G311" i="6"/>
  <c r="E307" i="6"/>
  <c r="H307" i="6" s="1"/>
  <c r="E302" i="6"/>
  <c r="H302" i="6" s="1"/>
  <c r="G292" i="6"/>
  <c r="H292" i="6" s="1"/>
  <c r="G289" i="6"/>
  <c r="E287" i="6"/>
  <c r="H287" i="6" s="1"/>
  <c r="G286" i="6"/>
  <c r="H286" i="6" s="1"/>
  <c r="E285" i="6"/>
  <c r="H285" i="6" s="1"/>
  <c r="G284" i="6"/>
  <c r="H284" i="6" s="1"/>
  <c r="G283" i="6"/>
  <c r="H283" i="6" s="1"/>
  <c r="G282" i="6"/>
  <c r="H282" i="6" s="1"/>
  <c r="E281" i="6"/>
  <c r="H281" i="6" s="1"/>
  <c r="E280" i="6"/>
  <c r="H280" i="6" s="1"/>
  <c r="G279" i="6"/>
  <c r="H279" i="6" s="1"/>
  <c r="G278" i="6"/>
  <c r="H278" i="6" s="1"/>
  <c r="G274" i="6"/>
  <c r="H274" i="6" s="1"/>
  <c r="E273" i="6"/>
  <c r="E272" i="6"/>
  <c r="H272" i="6" s="1"/>
  <c r="E271" i="6"/>
  <c r="G270" i="6"/>
  <c r="H270" i="6" s="1"/>
  <c r="G269" i="6"/>
  <c r="E266" i="6"/>
  <c r="H266" i="6" s="1"/>
  <c r="E265" i="6"/>
  <c r="E263" i="6"/>
  <c r="E262" i="6"/>
  <c r="H262" i="6" s="1"/>
  <c r="E260" i="6"/>
  <c r="H260" i="6" s="1"/>
  <c r="E257" i="6"/>
  <c r="E254" i="6"/>
  <c r="H254" i="6" s="1"/>
  <c r="G248" i="6"/>
  <c r="H248" i="6" s="1"/>
  <c r="G247" i="6"/>
  <c r="H247" i="6" s="1"/>
  <c r="G246" i="6"/>
  <c r="H246" i="6" s="1"/>
  <c r="G240" i="6"/>
  <c r="H240" i="6" s="1"/>
  <c r="G239" i="6"/>
  <c r="G238" i="6"/>
  <c r="H238" i="6" s="1"/>
  <c r="G237" i="6"/>
  <c r="G236" i="6"/>
  <c r="H236" i="6" s="1"/>
  <c r="G235" i="6"/>
  <c r="G234" i="6"/>
  <c r="H234" i="6" s="1"/>
  <c r="G233" i="6"/>
  <c r="G232" i="6"/>
  <c r="H232" i="6" s="1"/>
  <c r="G231" i="6"/>
  <c r="G230" i="6"/>
  <c r="H230" i="6" s="1"/>
  <c r="E220" i="6"/>
  <c r="E219" i="6"/>
  <c r="H219" i="6" s="1"/>
  <c r="E214" i="6"/>
  <c r="E213" i="6"/>
  <c r="H213" i="6" s="1"/>
  <c r="E212" i="6"/>
  <c r="E197" i="6"/>
  <c r="H197" i="6" s="1"/>
  <c r="E196" i="6"/>
  <c r="H196" i="6" s="1"/>
  <c r="E195" i="6"/>
  <c r="H195" i="6" s="1"/>
  <c r="E194" i="6"/>
  <c r="E193" i="6"/>
  <c r="H193" i="6" s="1"/>
  <c r="E192" i="6"/>
  <c r="H192" i="6" s="1"/>
  <c r="G180" i="6"/>
  <c r="H180" i="6" s="1"/>
  <c r="G179" i="6"/>
  <c r="H179" i="6" s="1"/>
  <c r="G178" i="6"/>
  <c r="G177" i="6"/>
  <c r="H177" i="6" s="1"/>
  <c r="G176" i="6"/>
  <c r="H176" i="6" s="1"/>
  <c r="G165" i="6"/>
  <c r="H165" i="6" s="1"/>
  <c r="G161" i="6"/>
  <c r="H161" i="6" s="1"/>
  <c r="G159" i="6"/>
  <c r="H159" i="6" s="1"/>
  <c r="G155" i="6"/>
  <c r="H155" i="6" s="1"/>
  <c r="G154" i="6"/>
  <c r="G149" i="6"/>
  <c r="H149" i="6" s="1"/>
  <c r="G145" i="6"/>
  <c r="H145" i="6" s="1"/>
  <c r="G142" i="6"/>
  <c r="H142" i="6" s="1"/>
  <c r="G141" i="6"/>
  <c r="H141" i="6" s="1"/>
  <c r="G138" i="6"/>
  <c r="G137" i="6"/>
  <c r="H137" i="6" s="1"/>
  <c r="G133" i="6"/>
  <c r="H133" i="6" s="1"/>
  <c r="G131" i="6"/>
  <c r="H131" i="6" s="1"/>
  <c r="G127" i="6"/>
  <c r="H127" i="6" s="1"/>
  <c r="G125" i="6"/>
  <c r="H125" i="6" s="1"/>
  <c r="G124" i="6"/>
  <c r="H124" i="6" s="1"/>
  <c r="E124" i="6"/>
  <c r="G107" i="6"/>
  <c r="H107" i="6" s="1"/>
  <c r="G106" i="6"/>
  <c r="G105" i="6"/>
  <c r="H105" i="6" s="1"/>
  <c r="E103" i="6"/>
  <c r="H103" i="6" s="1"/>
  <c r="G89" i="6"/>
  <c r="H89" i="6" s="1"/>
  <c r="E89" i="6"/>
  <c r="G87" i="6"/>
  <c r="H87" i="6" s="1"/>
  <c r="G83" i="6"/>
  <c r="H83" i="6" s="1"/>
  <c r="G49" i="6"/>
  <c r="H49" i="6" s="1"/>
  <c r="G48" i="6"/>
  <c r="H48" i="6" s="1"/>
  <c r="G45" i="6"/>
  <c r="H45" i="6" s="1"/>
  <c r="G43" i="6"/>
  <c r="H43" i="6" s="1"/>
  <c r="E43" i="6"/>
  <c r="G42" i="6"/>
  <c r="G40" i="6"/>
  <c r="H40" i="6" s="1"/>
  <c r="E40" i="6"/>
  <c r="G39" i="6"/>
  <c r="H39" i="6" s="1"/>
  <c r="E39" i="6"/>
  <c r="E225" i="6" s="1"/>
  <c r="H225" i="6" s="1"/>
  <c r="G38" i="6"/>
  <c r="H38" i="6" s="1"/>
  <c r="G35" i="6"/>
  <c r="H35" i="6" s="1"/>
  <c r="E28" i="6"/>
  <c r="H28" i="6" s="1"/>
  <c r="G20" i="6"/>
  <c r="H20" i="6" s="1"/>
  <c r="G15" i="6"/>
  <c r="H15" i="6" s="1"/>
  <c r="G14" i="6"/>
  <c r="E14" i="6"/>
  <c r="H14" i="6" l="1"/>
  <c r="H343" i="6"/>
  <c r="H14" i="2" l="1"/>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13" i="2"/>
  <c r="J202" i="5" l="1"/>
  <c r="G202" i="5"/>
  <c r="H202" i="5" s="1"/>
  <c r="G188" i="5"/>
  <c r="H188" i="5" s="1"/>
  <c r="H189" i="5"/>
  <c r="H190" i="5"/>
  <c r="J188" i="5"/>
  <c r="H191" i="5"/>
  <c r="H192" i="5"/>
  <c r="H193" i="5"/>
  <c r="I182" i="2" l="1"/>
  <c r="G181" i="2"/>
  <c r="I181" i="2" s="1"/>
  <c r="G180" i="2"/>
  <c r="I180" i="2" s="1"/>
  <c r="G179" i="2"/>
  <c r="I179" i="2" s="1"/>
  <c r="H9" i="1" l="1"/>
  <c r="H11" i="10" l="1"/>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0" i="10"/>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94" i="5"/>
  <c r="H195" i="5"/>
  <c r="H196" i="5"/>
  <c r="H197" i="5"/>
  <c r="H198" i="5"/>
  <c r="H199" i="5"/>
  <c r="H200" i="5"/>
  <c r="H201"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13" i="5"/>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2" i="3"/>
  <c r="I11" i="3"/>
  <c r="J11" i="3" s="1"/>
  <c r="H132" i="1" l="1"/>
  <c r="H130" i="1"/>
  <c r="H129" i="1"/>
  <c r="H128" i="1"/>
  <c r="H127" i="1"/>
  <c r="H126" i="1"/>
  <c r="H125" i="1"/>
  <c r="H123" i="1"/>
  <c r="H122" i="1"/>
  <c r="H121" i="1"/>
  <c r="H120" i="1"/>
  <c r="H119" i="1"/>
  <c r="H118" i="1"/>
  <c r="H117" i="1"/>
  <c r="H116" i="1"/>
  <c r="H115" i="1"/>
  <c r="H114" i="1"/>
  <c r="H112" i="1"/>
  <c r="H111" i="1"/>
  <c r="H110" i="1"/>
  <c r="H109" i="1"/>
  <c r="H108" i="1"/>
  <c r="H107" i="1"/>
  <c r="H106" i="1"/>
  <c r="H105" i="1"/>
  <c r="H104" i="1"/>
  <c r="H103" i="1"/>
  <c r="H102" i="1"/>
  <c r="H99" i="1"/>
  <c r="H98" i="1"/>
  <c r="H97" i="1"/>
  <c r="H96" i="1"/>
  <c r="H94" i="1"/>
  <c r="H93" i="1"/>
  <c r="H92" i="1"/>
  <c r="H91" i="1"/>
  <c r="H90" i="1"/>
  <c r="H87" i="1"/>
  <c r="H86" i="1"/>
  <c r="H85" i="1"/>
  <c r="H84" i="1"/>
  <c r="H81" i="1"/>
  <c r="H80" i="1"/>
  <c r="H79" i="1"/>
  <c r="H78" i="1"/>
  <c r="H76" i="1"/>
  <c r="H75" i="1"/>
  <c r="H74" i="1"/>
  <c r="H73" i="1"/>
  <c r="H72" i="1"/>
  <c r="H69" i="1"/>
  <c r="H68" i="1"/>
  <c r="H67" i="1"/>
  <c r="H66" i="1"/>
  <c r="H63" i="1"/>
  <c r="H62" i="1"/>
  <c r="H61" i="1"/>
  <c r="H60" i="1"/>
  <c r="H59" i="1"/>
  <c r="H58" i="1"/>
  <c r="H57" i="1"/>
  <c r="H53" i="1"/>
  <c r="H51" i="1"/>
  <c r="H49" i="1"/>
  <c r="H48" i="1"/>
  <c r="H47" i="1"/>
  <c r="H46" i="1"/>
  <c r="H45" i="1"/>
  <c r="H43" i="1"/>
  <c r="H42" i="1"/>
  <c r="H41" i="1"/>
  <c r="H40" i="1"/>
  <c r="H39" i="1"/>
  <c r="H38" i="1"/>
  <c r="H35" i="1"/>
  <c r="H34" i="1"/>
  <c r="H32" i="1"/>
  <c r="H31" i="1"/>
  <c r="H28" i="1"/>
  <c r="H27" i="1"/>
  <c r="H26" i="1"/>
  <c r="H23" i="1"/>
  <c r="H22" i="1"/>
  <c r="H21" i="1"/>
  <c r="H19" i="1"/>
  <c r="H16" i="1"/>
  <c r="H14" i="1"/>
  <c r="H13" i="1"/>
  <c r="H10" i="1" s="1"/>
  <c r="H54" i="1" l="1"/>
  <c r="H133" i="1"/>
  <c r="J221" i="5" l="1"/>
  <c r="J222" i="5"/>
  <c r="J223" i="5"/>
  <c r="J224" i="5"/>
  <c r="J225" i="5"/>
  <c r="J226" i="5"/>
  <c r="J227" i="5"/>
  <c r="J228" i="5"/>
  <c r="J229" i="5"/>
  <c r="J230" i="5"/>
  <c r="J231"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9" i="5"/>
  <c r="J190" i="5"/>
  <c r="J191" i="5"/>
  <c r="J192" i="5"/>
  <c r="J193" i="5"/>
  <c r="J194" i="5"/>
  <c r="J195" i="5"/>
  <c r="J196" i="5"/>
  <c r="J198" i="5"/>
  <c r="J199" i="5"/>
  <c r="J200" i="5"/>
  <c r="J201" i="5"/>
  <c r="J203" i="5"/>
  <c r="J204" i="5"/>
  <c r="J205" i="5"/>
  <c r="J206" i="5"/>
  <c r="J207" i="5"/>
  <c r="J208" i="5"/>
  <c r="J209" i="5"/>
  <c r="J210" i="5"/>
  <c r="J211" i="5"/>
  <c r="J212" i="5"/>
  <c r="J213" i="5"/>
  <c r="J214" i="5"/>
  <c r="J215" i="5"/>
  <c r="J216" i="5"/>
  <c r="J217" i="5"/>
  <c r="J218" i="5"/>
  <c r="J219" i="5"/>
  <c r="J220" i="5"/>
  <c r="J13" i="5"/>
  <c r="H11" i="11" l="1"/>
  <c r="H12" i="11"/>
  <c r="H15" i="11"/>
  <c r="H16" i="11"/>
  <c r="H17" i="11"/>
  <c r="H19" i="11"/>
  <c r="H20" i="11"/>
  <c r="H21" i="11"/>
  <c r="H22" i="11"/>
  <c r="H23" i="11"/>
  <c r="H24" i="11"/>
  <c r="H28" i="11"/>
  <c r="H30" i="11"/>
  <c r="H31" i="11"/>
  <c r="H32" i="11"/>
  <c r="H33" i="11"/>
  <c r="G35" i="11"/>
  <c r="H35" i="11" s="1"/>
  <c r="G36" i="11"/>
  <c r="H36" i="11" s="1"/>
  <c r="G37" i="11"/>
  <c r="H37" i="11" s="1"/>
  <c r="G38" i="11"/>
  <c r="H38" i="11" s="1"/>
  <c r="H39" i="11"/>
  <c r="H40" i="11"/>
  <c r="H41" i="11"/>
  <c r="H42" i="11"/>
  <c r="H45" i="11"/>
  <c r="H46" i="11"/>
  <c r="G48" i="11"/>
  <c r="H48" i="11" s="1"/>
  <c r="H49" i="11"/>
  <c r="H50" i="11"/>
  <c r="H51" i="11"/>
  <c r="H52" i="11"/>
  <c r="H53" i="11"/>
  <c r="H54" i="11"/>
  <c r="H58" i="11"/>
  <c r="H59" i="11"/>
  <c r="H60" i="11"/>
  <c r="H66" i="11"/>
  <c r="H67" i="11"/>
  <c r="H68" i="11"/>
  <c r="H69" i="11"/>
  <c r="H71" i="11"/>
  <c r="H72" i="11"/>
  <c r="H73" i="11"/>
  <c r="H74" i="11"/>
  <c r="H75" i="11"/>
  <c r="H76" i="11"/>
  <c r="H77" i="11"/>
  <c r="H78" i="11"/>
  <c r="H79" i="11"/>
  <c r="H80" i="11"/>
  <c r="H85" i="11"/>
  <c r="H86" i="11"/>
  <c r="H87" i="11"/>
  <c r="H88" i="11"/>
  <c r="H89" i="11"/>
  <c r="H90" i="11"/>
  <c r="H91" i="11"/>
  <c r="H92" i="11"/>
  <c r="H93" i="11"/>
  <c r="H94" i="11"/>
  <c r="H95" i="11"/>
  <c r="H96" i="11"/>
  <c r="H97" i="11"/>
  <c r="H98" i="11"/>
  <c r="H99" i="11"/>
  <c r="H100" i="11"/>
  <c r="H101" i="11"/>
  <c r="H102" i="11"/>
  <c r="H103"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J154" i="11"/>
  <c r="H155" i="11"/>
  <c r="H156" i="11"/>
  <c r="H157" i="11"/>
  <c r="H158" i="11"/>
  <c r="H161" i="11"/>
  <c r="H162" i="11"/>
  <c r="H163" i="11"/>
  <c r="H164" i="11"/>
  <c r="H165" i="11"/>
  <c r="H166" i="11"/>
  <c r="H167" i="11"/>
  <c r="H168" i="11"/>
  <c r="H169" i="11"/>
  <c r="H170" i="11"/>
  <c r="H171" i="11"/>
  <c r="H172" i="11"/>
  <c r="H173" i="11"/>
  <c r="H174" i="11"/>
  <c r="H175" i="11"/>
  <c r="H178" i="11"/>
  <c r="H180" i="11"/>
  <c r="H181" i="11"/>
  <c r="H182" i="11"/>
  <c r="H183" i="11"/>
  <c r="H184" i="11"/>
  <c r="H185" i="11"/>
  <c r="G186" i="11"/>
  <c r="H186" i="11" s="1"/>
  <c r="H187" i="11"/>
  <c r="H188" i="11"/>
  <c r="G189" i="11"/>
  <c r="H189" i="11" s="1"/>
  <c r="H190" i="11"/>
  <c r="H191" i="11"/>
  <c r="G192" i="11"/>
  <c r="H192" i="11" s="1"/>
  <c r="G193" i="11"/>
  <c r="H193" i="11"/>
  <c r="G194" i="11"/>
  <c r="H194" i="11" s="1"/>
  <c r="H195" i="11"/>
  <c r="G196" i="11"/>
  <c r="H196" i="11" s="1"/>
  <c r="H197" i="11"/>
  <c r="G198" i="11"/>
  <c r="H198" i="11" s="1"/>
  <c r="H199" i="11"/>
  <c r="G200" i="11"/>
  <c r="H200" i="11"/>
  <c r="H201" i="11"/>
  <c r="H202" i="11"/>
  <c r="H203" i="11"/>
  <c r="H204" i="11"/>
  <c r="H205" i="11"/>
  <c r="H206" i="11"/>
  <c r="H207" i="11"/>
  <c r="H208" i="11"/>
  <c r="H212"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42" i="11"/>
  <c r="H243" i="11"/>
  <c r="H244" i="11"/>
  <c r="H245" i="11"/>
  <c r="H246" i="11"/>
  <c r="H247" i="11"/>
  <c r="H248" i="11"/>
  <c r="H249" i="11"/>
  <c r="H250" i="11"/>
  <c r="H251" i="11"/>
  <c r="H252" i="11"/>
  <c r="H253" i="11"/>
  <c r="H254" i="11"/>
  <c r="H255" i="11"/>
  <c r="H256" i="11"/>
  <c r="H257" i="11"/>
  <c r="H259" i="11"/>
  <c r="H258" i="11" s="1"/>
  <c r="M259" i="11"/>
  <c r="H10" i="11" l="1"/>
  <c r="H209" i="11"/>
  <c r="H239" i="11"/>
  <c r="H61" i="11"/>
  <c r="H43" i="11"/>
  <c r="H13" i="11"/>
  <c r="H82" i="11"/>
  <c r="H55" i="11"/>
  <c r="H25" i="11"/>
  <c r="H176" i="11"/>
  <c r="H81" i="11" l="1"/>
  <c r="H260" i="11" s="1"/>
  <c r="K260" i="11" s="1"/>
</calcChain>
</file>

<file path=xl/sharedStrings.xml><?xml version="1.0" encoding="utf-8"?>
<sst xmlns="http://schemas.openxmlformats.org/spreadsheetml/2006/main" count="4893" uniqueCount="1928">
  <si>
    <t>CỤC ĐIỀU TRA CHỐNG BUÔN LẬU</t>
  </si>
  <si>
    <t>STT</t>
  </si>
  <si>
    <t>Nội dung công việc</t>
  </si>
  <si>
    <t>Quy cách thông số/ Model ký hiệu</t>
  </si>
  <si>
    <t>Xuất xứ</t>
  </si>
  <si>
    <t>Số lượng</t>
  </si>
  <si>
    <t>A</t>
  </si>
  <si>
    <t>Phần điện</t>
  </si>
  <si>
    <t>1.1</t>
  </si>
  <si>
    <t>Máy phát Kohler 25EFOZDJ 25Kw - 220V</t>
  </si>
  <si>
    <t>Cái</t>
  </si>
  <si>
    <t>Phần thân vỏ, thiết bị trên boong</t>
  </si>
  <si>
    <t>Vệ sinh, mài điểm đo, đo chiều dày theo bản vẽ</t>
  </si>
  <si>
    <t>Điểm</t>
  </si>
  <si>
    <t>Hệ trục</t>
  </si>
  <si>
    <t>HT</t>
  </si>
  <si>
    <t>3.1</t>
  </si>
  <si>
    <t>Chân vịt</t>
  </si>
  <si>
    <t>3.2</t>
  </si>
  <si>
    <t>Trục chân vịt</t>
  </si>
  <si>
    <t>Hệ lái</t>
  </si>
  <si>
    <t>4.1</t>
  </si>
  <si>
    <t>Trục lái + bánh lái</t>
  </si>
  <si>
    <t>Máy chính Baudouin 6M26,3 (2100v/p-750HP)</t>
  </si>
  <si>
    <t>5.1</t>
  </si>
  <si>
    <t>Máy chính Baudouin 6M26,3 (2100v/p-750HP) mạn trái</t>
  </si>
  <si>
    <t>Máy</t>
  </si>
  <si>
    <t>5.2</t>
  </si>
  <si>
    <t>Máy chính Baudouin 6M26,3 (2100v/p-750HP) mạn phải</t>
  </si>
  <si>
    <t>Diesel lai máy phát</t>
  </si>
  <si>
    <t>6.1</t>
  </si>
  <si>
    <t>Máy phát mạn trái KONLER 25EFOZDJ 25kW-380V.</t>
  </si>
  <si>
    <t>Bộ</t>
  </si>
  <si>
    <t>6.2</t>
  </si>
  <si>
    <t>Máy phát mạn phải KONLER 25EFOZDJ 25kW-380V.</t>
  </si>
  <si>
    <t>Hộp van thông biển</t>
  </si>
  <si>
    <t xml:space="preserve">Đường ống cứu hỏa </t>
  </si>
  <si>
    <t>B</t>
  </si>
  <si>
    <t>Xăng A92</t>
  </si>
  <si>
    <t>Việt Nam</t>
  </si>
  <si>
    <t>Lít</t>
  </si>
  <si>
    <t>Giấy nhám</t>
  </si>
  <si>
    <t>Tờ</t>
  </si>
  <si>
    <t>Mỡ chịu nhiệt</t>
  </si>
  <si>
    <t>Kg</t>
  </si>
  <si>
    <t>Băng dính cách điện</t>
  </si>
  <si>
    <t>Cuộn</t>
  </si>
  <si>
    <t>Sơn cách điện</t>
  </si>
  <si>
    <t>Liên doanh</t>
  </si>
  <si>
    <t>Chổi quét sơn 5cm</t>
  </si>
  <si>
    <t>Vòng bi</t>
  </si>
  <si>
    <t>2.1</t>
  </si>
  <si>
    <t>Đá mài</t>
  </si>
  <si>
    <t>Viên</t>
  </si>
  <si>
    <t>Mỡ</t>
  </si>
  <si>
    <t>Giẻ lau</t>
  </si>
  <si>
    <t>Phấn Mic</t>
  </si>
  <si>
    <t>Hộp</t>
  </si>
  <si>
    <t>Ôxy</t>
  </si>
  <si>
    <t>Chai</t>
  </si>
  <si>
    <t>Gas</t>
  </si>
  <si>
    <t>Mỡ bò</t>
  </si>
  <si>
    <t>Tết chỉ 14x14</t>
  </si>
  <si>
    <t>m</t>
  </si>
  <si>
    <t>Dầu rửa</t>
  </si>
  <si>
    <t>Lít</t>
  </si>
  <si>
    <t>Xà phòng</t>
  </si>
  <si>
    <t>Bộ phớt bơm nước biển</t>
  </si>
  <si>
    <t>Cảm biến áp lực dầu hộp số</t>
  </si>
  <si>
    <t>Nước làm mát động cơ</t>
  </si>
  <si>
    <t>Bơm nước biển</t>
  </si>
  <si>
    <t>Bộ xéc măng</t>
  </si>
  <si>
    <t>Gioăng mặt máy</t>
  </si>
  <si>
    <t>Đệm các te</t>
  </si>
  <si>
    <t>Phớt ghít xu páp nạp</t>
  </si>
  <si>
    <t>Phớt ghít xu páp xả</t>
  </si>
  <si>
    <t>Máy phát mạn phải KONLER 25EFOZDJ 25kW-380V</t>
  </si>
  <si>
    <t>Hóa chất tẩy rỉ</t>
  </si>
  <si>
    <t>Bình</t>
  </si>
  <si>
    <t>Sơn</t>
  </si>
  <si>
    <t>Cát xoáy</t>
  </si>
  <si>
    <t>Epoxy</t>
  </si>
  <si>
    <t>Lọ</t>
  </si>
  <si>
    <t xml:space="preserve">             TỔNG CỤC HẢI QUAN</t>
  </si>
  <si>
    <t xml:space="preserve">   DANH MỤC VẬT TƯ, PHỤ TÙNG, NHÂN CÔNG</t>
  </si>
  <si>
    <t xml:space="preserve">BẢO DƯỠNG CA NÔ HQ11-01-16 </t>
  </si>
  <si>
    <t>PHỤ LỤC 1</t>
  </si>
  <si>
    <t>BẢO DƯỠNG TÀU HQ11-99-56</t>
  </si>
  <si>
    <t>Đơn vị tính</t>
  </si>
  <si>
    <t>I</t>
  </si>
  <si>
    <t>PHẦN VỎ TÀU</t>
  </si>
  <si>
    <t>Phần từ mớn nước có tải trở xuống (bao gồm cả vây giảm lắc)</t>
  </si>
  <si>
    <t xml:space="preserve"> - Cạo hà 100% diện tích</t>
  </si>
  <si>
    <t>m2</t>
  </si>
  <si>
    <t xml:space="preserve"> - Phun cát phần dưới mớn nước làm sạch</t>
  </si>
  <si>
    <t xml:space="preserve"> - Sơn 03 lớp sơn theo qui trình hãng sơn</t>
  </si>
  <si>
    <t>Toàn bộ diện tích mặt boong chính, boong cabin và các phụ kiện đính kèm như: nắp hầm hàng, nắp hầm người chui, quạt thông gió, cổ ngỗng, tời quấn dây</t>
  </si>
  <si>
    <t xml:space="preserve"> - Mài chải tạo nhám bề mặt 100 % diện tích </t>
  </si>
  <si>
    <t xml:space="preserve">- Sơn dặm 01 lớp chống gỉ 30% diện tích theo qui trình hãng sơn </t>
  </si>
  <si>
    <t xml:space="preserve">- Sơn phủ 01 lớp mầu theo qui trình hãng sơn  </t>
  </si>
  <si>
    <t>Kẻ vạch mớn nước cho tàu</t>
  </si>
  <si>
    <t>II</t>
  </si>
  <si>
    <t>TRANG THIẾT BỊ TRÊN BOONG VÀ LÁI</t>
  </si>
  <si>
    <t xml:space="preserve">Đế đèn pha </t>
  </si>
  <si>
    <t>Cắt phôi gia công lắp hàn hoàn thiện xuống tàu chân giá đèn pha:</t>
  </si>
  <si>
    <t>Tấm mặt bích: Φ180xd12 (khoan 04 lỗ bắt bu lông theo đèn pha)</t>
  </si>
  <si>
    <t>tấm</t>
  </si>
  <si>
    <t>Tấm đệm cao su loại 2 Φ280xd5</t>
  </si>
  <si>
    <t>Ống đứng: Φ114x 6 x 700 mm</t>
  </si>
  <si>
    <t xml:space="preserve">Tấm đệm boong Φ150xd8 </t>
  </si>
  <si>
    <t>Mã gia cường 200x120xd6 x 4 cái</t>
  </si>
  <si>
    <t>cái</t>
  </si>
  <si>
    <t>Đi mới dây điện bọc lưới thép có vỏ nhựa ngoài 2x1,5=15m</t>
  </si>
  <si>
    <t>Công tắc sắt 2 cực 10A=1 cái</t>
  </si>
  <si>
    <t>Tem nhựa 10x25=1 cái</t>
  </si>
  <si>
    <t>Gia công, lắp mới cổ cò đi dây điện ống thép mạ kẽm Φ27x3.2 x 500</t>
  </si>
  <si>
    <t>Gia công mới 01 bích tay đèn pha Φ160xd6 khoan, ta rô 04 lỗ M10</t>
  </si>
  <si>
    <t>Lắp mới 01 đèn pha 220V-1000W kèm tay điều khiển (PS-1KH-U55W-C).</t>
  </si>
  <si>
    <t xml:space="preserve">Phục vụ: </t>
  </si>
  <si>
    <t xml:space="preserve">Buồng lái: </t>
  </si>
  <si>
    <t>Tháo trần nội thất KT 2700x3700 phục vụ hàn cắt xong lắp lại hoàn thiện</t>
  </si>
  <si>
    <t>Tháo cách nhiệt 500x500 phục vụ hàn cắt xong lắp lại hoàn thiện</t>
  </si>
  <si>
    <t>Tháo 01 loa, 01 báo cháy, 01 cửa gió, 01 đèn điện xong lắp lại hoàn thiện</t>
  </si>
  <si>
    <t>hệ</t>
  </si>
  <si>
    <t>Tháo 2 m2 tấm vách nội thất phục vụ đi đây điện</t>
  </si>
  <si>
    <t>Tháo 02 viền cửa composite (01 cửa ra vào, 01 viền cửa sổ) mạn phải phục vụ đi đây điện</t>
  </si>
  <si>
    <t>III</t>
  </si>
  <si>
    <t>TRANG THIẾT BỊ BUỒNG MÁY</t>
  </si>
  <si>
    <t>-Máy chính trái: Diesel
 Model: 6M33.2 của hãng Baudouin/ Pháp, công suất750 hp x 1.800 vòng/ phút.
 Hệ khởi động: Điện 24V</t>
  </si>
  <si>
    <t>Bầu lọc tinh dầu nhờn (từ sinh hàn vào máy): Vệ sinh, sử dụng lại</t>
  </si>
  <si>
    <t>Lọc thô nhiên liệu: Thay mới</t>
  </si>
  <si>
    <t>Lọc tinh nhiên liệu: Thay mới</t>
  </si>
  <si>
    <t>Lọc gió No 1678: Vệ sinh, thổi khí sử dụng lại</t>
  </si>
  <si>
    <t>Thay 100l dung dịch nước chống cáu cặn</t>
  </si>
  <si>
    <t>máy</t>
  </si>
  <si>
    <t>cáí</t>
  </si>
  <si>
    <t>-Máy chính phải: Diesel
 Model: F115 của hãng Baudouin/ Pháp, công suất750 hp x 1.800 vòng/ phút.
 Hệ khởi động: Điện 24V</t>
  </si>
  <si>
    <t>Sửa chữa màn hình và nút bấm bảng điều khiển máy chính trái, phải trên cabin lái</t>
  </si>
  <si>
    <t>khối</t>
  </si>
  <si>
    <t>*</t>
  </si>
  <si>
    <t>Phần Bơm</t>
  </si>
  <si>
    <t>bơm</t>
  </si>
  <si>
    <t>tổ</t>
  </si>
  <si>
    <t>Thay mới 04 van hút, van xả Φn45 bằng đồng</t>
  </si>
  <si>
    <t>Thay mới 04 van Clape bằng cao su Φn38xΦt9xd6</t>
  </si>
  <si>
    <t>Thay mới 01 piston bằng nhựa Φn32xΦt8xL26</t>
  </si>
  <si>
    <t>bộ</t>
  </si>
  <si>
    <t>IV</t>
  </si>
  <si>
    <t>HỆ THỐNG ĐƯỜNG ỐNG, VAN</t>
  </si>
  <si>
    <t>Hộp van thông biển: Kiểu ống Φ300 x 2500</t>
  </si>
  <si>
    <t>Vệ sinh, gõ rỉ, bảo dưỡng, sơn hộp van, lưới chắn rác hộp van thông biển</t>
  </si>
  <si>
    <t>Tháo lưới chắn rác, gia công hộp chụp Φ400 cao 200 bằng thép tấm d8, dùng kích ép sát hộp với thân tàu, hàn đầu vòi bơm khí giữ áp lực P = 0.25 kG/cm2, kiểm tra kín bằng dung dịch nước xà phòng. Thử kín xong lắp lại lưới chắn rác hoàn thiện.</t>
  </si>
  <si>
    <t>- Van chặn sau lọc: 5K -65A</t>
  </si>
  <si>
    <t>V</t>
  </si>
  <si>
    <t>PHẦN CƠ KHÍ THIẾT BỊ</t>
  </si>
  <si>
    <t>Hệ trục chân vịt</t>
  </si>
  <si>
    <t>Trục chân vịt: Trước khi tàu lên triền, tháo bulông tách bích trục tuốc tô, đo kiểm tra độ đồng tâm, gãy khúc hệ trục chân vịt.</t>
  </si>
  <si>
    <t>trục</t>
  </si>
  <si>
    <t>Tàu lên triền, cắt tháo chắn rác đo kiểm tra khe hở bạc trục.
Sau khi tàu hạ thuỷ đo kiểm tra lại độ đồng tâm, gãy khúc hệ trục chân vịt.</t>
  </si>
  <si>
    <t>Trục chân vịt và ổ đỡ trục chân vịt mạn trái, phải: Vệ sinh phần trục ngâm nước tại tàu.</t>
  </si>
  <si>
    <t>Chân vịt đồng mạn phải: Vệ sinh, mài đánh bóng cánh chân vịt tại tàu.</t>
  </si>
  <si>
    <t xml:space="preserve">Chân vịt đồng mạn trái:  
 - Vệ sinh, mài đánh bóng cánh chân vịt tại tàu.
 - Hàn đồng, mài sửa cánh chân vịt </t>
  </si>
  <si>
    <t>Chắn rác 2 nửa Φn245: Vệ sinh, sử dụng lại</t>
  </si>
  <si>
    <t>Bu lông tuốc tô trục Φ22xM20x90 (ren 35) + 2 ê cu: Sửa nguội ren, tra mỡ bảo quản, sử dụng lại bu lông. Thay mới 24 chốt chẻ thép Φ3x40</t>
  </si>
  <si>
    <t>Trục lái + bánh lái: Cạo hà, vệ sinh, sơn sửa tại tàu</t>
  </si>
  <si>
    <t xml:space="preserve">hệ </t>
  </si>
  <si>
    <t xml:space="preserve">Phần từ mớn nước có tải trở xuống. </t>
  </si>
  <si>
    <t>SigmaCover 555</t>
  </si>
  <si>
    <t>Black</t>
  </si>
  <si>
    <t>Sigma</t>
  </si>
  <si>
    <t>lít</t>
  </si>
  <si>
    <t>Sigma SailAdvance RX</t>
  </si>
  <si>
    <t>RedBrown</t>
  </si>
  <si>
    <t>Cát phun tàu</t>
  </si>
  <si>
    <t>m3</t>
  </si>
  <si>
    <t>Toàn bộ diện tích mặt boong chính, boong cabin và các phụ kiện đính kèm như: nắp hầm người chui, quạt thông gió, cổ ngỗng, tời quấn dây</t>
  </si>
  <si>
    <t>Sigmaprime 200 Series</t>
  </si>
  <si>
    <t>Grey / YellowGreen</t>
  </si>
  <si>
    <t>Sigma - Indonesia</t>
  </si>
  <si>
    <t>SigmaDur 550</t>
  </si>
  <si>
    <t>RedBrown 6179</t>
  </si>
  <si>
    <t>RAL 5012</t>
  </si>
  <si>
    <t>Dung môi</t>
  </si>
  <si>
    <t>Thinner 21-06</t>
  </si>
  <si>
    <t>Dùng cho S'SailAdvance RX, S'Dur 550</t>
  </si>
  <si>
    <t>Tháo lắp kẽm</t>
  </si>
  <si>
    <t>Tấm chống ăn mòn bánh lái</t>
  </si>
  <si>
    <t>Φ130x22</t>
  </si>
  <si>
    <t>Việt Nam</t>
  </si>
  <si>
    <t>Tấm</t>
  </si>
  <si>
    <t xml:space="preserve"> PHẦN THIẾT BỊ TRÊN BOONG VÀ LÁI</t>
  </si>
  <si>
    <t>Nhựa trải sàn cao su màu ghi 3mm</t>
  </si>
  <si>
    <t>Việt nam</t>
  </si>
  <si>
    <t>Bọc ghế</t>
  </si>
  <si>
    <t>Tấm đệm giả da màu xanh: Tấm tựa: 500x1200xd100 x 1 tấm</t>
  </si>
  <si>
    <t>Tấm đệm giả da màu xanh: Tấm tựa: 500x1400xd100 x 1 tấm</t>
  </si>
  <si>
    <t>Tấm đệm giả da màu xanh: Tấm tựa: 900x500xd100 x 1 tấm</t>
  </si>
  <si>
    <t>Tấm đệm giả da màu xanh: Tấm ngồi: 500x1200xd100 x 1 tấm</t>
  </si>
  <si>
    <t>Tấm đệm giả da màu xanh: Tấm ngồi: 500x1400xd100 x 1 tấm</t>
  </si>
  <si>
    <t>Tấm đệm giả da màu xanh: Tấm ngồi: 900x500xd100 x 1 tấm</t>
  </si>
  <si>
    <t>Ghế đơn: 380x380x460 x 2 cái</t>
  </si>
  <si>
    <t>Đế đèn pha</t>
  </si>
  <si>
    <t xml:space="preserve">Ống thép mạ kẽm </t>
  </si>
  <si>
    <t>Φ114x 6</t>
  </si>
  <si>
    <t>kg</t>
  </si>
  <si>
    <t>Đệm cao su chịu dầu</t>
  </si>
  <si>
    <t>5mm</t>
  </si>
  <si>
    <t>Dây điện bọc lưới thép có vỏ nhựa ngoài 2x1,5</t>
  </si>
  <si>
    <t>Công tắc sắt 2 cực 10A</t>
  </si>
  <si>
    <t>Tem nhựa 10x25</t>
  </si>
  <si>
    <t>Ф27x3,2</t>
  </si>
  <si>
    <t>1&amp;2</t>
  </si>
  <si>
    <t>Máy phát trái, phải</t>
  </si>
  <si>
    <t>50EFDZOJ số SGM32MDHR 50 kw</t>
  </si>
  <si>
    <t xml:space="preserve"> Hãng Baudouin</t>
  </si>
  <si>
    <t>Bộ phớt kín dầu, kín nước máy đèn</t>
  </si>
  <si>
    <t xml:space="preserve">Kohler </t>
  </si>
  <si>
    <t>Bộ vòng bi BNB máy đèn</t>
  </si>
  <si>
    <t xml:space="preserve">Phanh hãm trục Φt16 </t>
  </si>
  <si>
    <t>Ống cao su chịu dầu chịu nhiệt</t>
  </si>
  <si>
    <t>Φ 32</t>
  </si>
  <si>
    <t>Gioăng cao su Φt78,4 x Φs 5,33</t>
  </si>
  <si>
    <t>Gioăng cao su Φt96 x Φs 6</t>
  </si>
  <si>
    <t>Gioăng cao su Φt94,6 x Φs 5,7</t>
  </si>
  <si>
    <t xml:space="preserve">Vòng kẹp bu lông I nốc </t>
  </si>
  <si>
    <t>Φ 40</t>
  </si>
  <si>
    <t>Φ 50</t>
  </si>
  <si>
    <t>Đệm ống xả dọc - kiểu định hình, bằng thép KT 115x108 x  d1,5 (kín khí, kín nước)</t>
  </si>
  <si>
    <t>Đệm ống xả dọc vào nắp máy - kiểu định hình, bằng thép 545 x 5 lỗ Φ46 x d1,5 (kín khí, kín nước)</t>
  </si>
  <si>
    <t>Thép tấm</t>
  </si>
  <si>
    <t>* Cấp vật tư dự phòng phục vụ bảo dưỡng định kỳ 02 máy phát</t>
  </si>
  <si>
    <t xml:space="preserve">Bầu lọc dầu nhờn máy đèn </t>
  </si>
  <si>
    <t>Kẽm chống ăn mòn mày đèn</t>
  </si>
  <si>
    <t>Cảm biến niệt độ nước làm mát máy đèn</t>
  </si>
  <si>
    <t>Cảm biến áp lực dầu nhờn máy đèn</t>
  </si>
  <si>
    <t>Bộ gioăng xy lanh</t>
  </si>
  <si>
    <t>Đệm cổ xả</t>
  </si>
  <si>
    <t>3&amp;4</t>
  </si>
  <si>
    <t xml:space="preserve">-Máy chính trái: Phải.
</t>
  </si>
  <si>
    <t>-Model: 6M33.2 của hãng Baudouin/ Pháp, công suất750 hp x 1.800 vòng/ phút.
-Hệ khởi động: Điện 24V</t>
  </si>
  <si>
    <t>Bộ kín nước mặt đá tì, lò xo ép, cao su ôm cổ Φn40 x Φ t25 x 33</t>
  </si>
  <si>
    <t>Phớt kín mỡ 40-52-7</t>
  </si>
  <si>
    <t xml:space="preserve">Gioăng cao su kín nước Φt 120 x Φs2,5 </t>
  </si>
  <si>
    <t>Gioăng cao su Φt 65 x Φs3,5</t>
  </si>
  <si>
    <t>Gioăng cao su Φt 59,6 x Φs 5,7</t>
  </si>
  <si>
    <t xml:space="preserve">Gioăng cao su kín dầu Φt 30 x Φs 4  </t>
  </si>
  <si>
    <t>Đệm thép định hinh (mặt sinh hàn và bloc) KT 400 x 300 x d7</t>
  </si>
  <si>
    <t>Gioăng cao su Φt 168 x Φs4</t>
  </si>
  <si>
    <t>Gioăng cao su Φt 165 x Φs5</t>
  </si>
  <si>
    <t>Gioăng cao su Φt 60 x Φs5</t>
  </si>
  <si>
    <t xml:space="preserve">Đệm nhựa Φt24 x Φn32 x 2 </t>
  </si>
  <si>
    <t xml:space="preserve">Ống cao su đỏ </t>
  </si>
  <si>
    <t>Φ 70</t>
  </si>
  <si>
    <t>Φ 80</t>
  </si>
  <si>
    <t xml:space="preserve">Gioăng cao su Φt74 x Φs4 </t>
  </si>
  <si>
    <t>Gioăng cao su Φt174,3 x Φs 5,7</t>
  </si>
  <si>
    <t>Gioăng cao su Φt175 x Φs 4</t>
  </si>
  <si>
    <t>Gioăng cao su Φt84,6 x Φs 5,7</t>
  </si>
  <si>
    <t xml:space="preserve">Nắp bịt Φn115 x M13 x Φb95 x 45, 2 rãnh cao su Φ4  </t>
  </si>
  <si>
    <t>* Vật tư cấp dự phòng phục vụ bảo dưỡng định kỳ 02 máy chính</t>
  </si>
  <si>
    <t>Kẽm chống ăn mòn bơm nước biển máy chính</t>
  </si>
  <si>
    <t>Kẽm chống ăn mòn sinh hàn gió máy chính</t>
  </si>
  <si>
    <t>Bơm lắc tay dầu nhờn mạn trái</t>
  </si>
  <si>
    <t>Chốt định trục Φ5 x 10</t>
  </si>
  <si>
    <t>Chốt cố định cánh Φ4 x 22 x Φ8</t>
  </si>
  <si>
    <t>Nỉ dạ kín trục 60x10x15</t>
  </si>
  <si>
    <t>Gioăng cao su Φt90 x Φs3</t>
  </si>
  <si>
    <t>Gioăng cao su Φt21 x Φs4</t>
  </si>
  <si>
    <t>Bơm nước ngọt sinh hoạt</t>
  </si>
  <si>
    <t>Máy bơm nước tự động điện áp 1 pha 220V; Q = 2m3/h; H = 30m</t>
  </si>
  <si>
    <t>Ống thép mạ kẽm</t>
  </si>
  <si>
    <t>Ф32x3,2</t>
  </si>
  <si>
    <t>Van hút, van xả Φn45 bằng đồng</t>
  </si>
  <si>
    <t>Van Clape bằng cao su Φn38xΦt9xd6</t>
  </si>
  <si>
    <t>Piston bằng nhựa Φn32xΦt8xL26</t>
  </si>
  <si>
    <t xml:space="preserve">Bơm cứu hỏa 11 kW </t>
  </si>
  <si>
    <t>Bộ kín nước cao su lò xo Φ25</t>
  </si>
  <si>
    <t xml:space="preserve">Bơm nước thải 0,75 kW </t>
  </si>
  <si>
    <t>Bulong ecu thép mạ kẽm</t>
  </si>
  <si>
    <t xml:space="preserve">M12x50 </t>
  </si>
  <si>
    <t>Bu lông M20x80 + ê cu, đệm bằng, đệm vênh thép mạ kẽm</t>
  </si>
  <si>
    <t>Bu lông M20x150 + ê cu, đệm bằng, đệm vênh thép mạ kẽm</t>
  </si>
  <si>
    <t>4mm</t>
  </si>
  <si>
    <t>M2</t>
  </si>
  <si>
    <t>Chổi đánh rỉ</t>
  </si>
  <si>
    <t>D100</t>
  </si>
  <si>
    <t>Cái</t>
  </si>
  <si>
    <t xml:space="preserve">Dây đồng hợp kim </t>
  </si>
  <si>
    <t xml:space="preserve"> SF-CUAL8NI2 - 1.0mm</t>
  </si>
  <si>
    <t>Trung Quốc</t>
  </si>
  <si>
    <t>Khi Argon</t>
  </si>
  <si>
    <t>F125</t>
  </si>
  <si>
    <t xml:space="preserve">Viên </t>
  </si>
  <si>
    <t>Khí gas</t>
  </si>
  <si>
    <t>Oxy</t>
  </si>
  <si>
    <t>(40l, 120at)</t>
  </si>
  <si>
    <t>chai</t>
  </si>
  <si>
    <t>VI</t>
  </si>
  <si>
    <t>TRANG THIẾT BỊ NGÀNH ĐIỆN</t>
  </si>
  <si>
    <t>Quạt thông gió đẩy buồng máy trước 2,1KW</t>
  </si>
  <si>
    <t xml:space="preserve">Bu lông Inox SUS 304 + êcu, đệm bằng, đệm vênh </t>
  </si>
  <si>
    <t>M12x40</t>
  </si>
  <si>
    <t>C</t>
  </si>
  <si>
    <t>tàu</t>
  </si>
  <si>
    <t>NHÂN CÔNG THỰC HIỆN:</t>
  </si>
  <si>
    <t>VẬT TƯ NGUYÊN VẬT LIỆU</t>
  </si>
  <si>
    <t>NHÂN CÔNG THỰC HIỆN</t>
  </si>
  <si>
    <t>PHỤ LỤC 2</t>
  </si>
  <si>
    <t>BẢO DƯỠNG TÀU HQ11-91-66</t>
  </si>
  <si>
    <t>CHI PHÍ VẬT TƯ NGUYÊN VẬT LIỆU PHÁT SINH TRONG HỢP ĐỒNG</t>
  </si>
  <si>
    <t>Máy phát điện Kohker 70EFOZDJ (3F/380V/70 kW)</t>
  </si>
  <si>
    <t>Vòng bi 6212RS.</t>
  </si>
  <si>
    <t>Nhật</t>
  </si>
  <si>
    <t>Vòng</t>
  </si>
  <si>
    <t>PHẦN THIẾT BỊ ĐỘNG LỰC</t>
  </si>
  <si>
    <t xml:space="preserve">Bơm nước biển làm mát điều hòa bằng nước biển loại 15m3/h x  2,2kW REVI: </t>
  </si>
  <si>
    <t>Vòng bi 6202RZ</t>
  </si>
  <si>
    <t>Phớt phíp, lò xo kín nước</t>
  </si>
  <si>
    <t>LD</t>
  </si>
  <si>
    <t>Bơm nước ngọt làm mát điều hòa loại 15m3- 2,2kW EBARA</t>
  </si>
  <si>
    <t>Vòng bi 6205</t>
  </si>
  <si>
    <t>Vòng bi 6203</t>
  </si>
  <si>
    <t>Bơm Hidropho nước biển, nước ngọt sinh hoạt CNR3-8 A-FGJ-G-E-HQQE</t>
  </si>
  <si>
    <t>Vòng bi 6201</t>
  </si>
  <si>
    <t>Vòng bi 6204</t>
  </si>
  <si>
    <t>Bơm hút khô, dùng chung RSM 50-40/125; 3kW; Q: 20m3/h</t>
  </si>
  <si>
    <t>Vòng bi 6206Z</t>
  </si>
  <si>
    <t>TRANG BỊ NGÀNH VAN ỐNG</t>
  </si>
  <si>
    <t>Van thông biển máy chính mạn trái 5K250A</t>
  </si>
  <si>
    <t>Bánh răng xoay dẫn động</t>
  </si>
  <si>
    <t>Cặp</t>
  </si>
  <si>
    <t>Van chặn thông biển máy phát điện 5K150</t>
  </si>
  <si>
    <t>Van chặn thông biển 5K150A (van bướm tay gạt)</t>
  </si>
  <si>
    <t>T. Quốc</t>
  </si>
  <si>
    <t>Đường ống nước biển  ra vào sinh hàn điều hòa</t>
  </si>
  <si>
    <t xml:space="preserve">Ống Inox Φ48,3x3,68 = 4,5m x 4,18kg/m </t>
  </si>
  <si>
    <t xml:space="preserve">Ống Inox Φ60,33x3,91 = 2m x 5,62kg/m </t>
  </si>
  <si>
    <t>Cút Inox Φ48</t>
  </si>
  <si>
    <t>Cút Inox Φ60</t>
  </si>
  <si>
    <t>Que hàn Inox</t>
  </si>
  <si>
    <t>CHI PHÍ NHÂN CÔNG THỰC HIỆN PHÁT SINH NGOÀI HỢP ĐỒNG</t>
  </si>
  <si>
    <t>PHẦN ĐIỆN</t>
  </si>
  <si>
    <t>Quạt hút thông gió buồng máy</t>
  </si>
  <si>
    <t>Tháo, thay mới 02 vòng bi</t>
  </si>
  <si>
    <t>PHẦN MÁY PHÁT 01 MÁY</t>
  </si>
  <si>
    <t>Động cơ lai mát phát điện: John Deere 4045AFM85; 120hp x 1500 v/p Trung tu</t>
  </si>
  <si>
    <t>CÔNG TÁC CHUẨN BỊ SỬA CHỮA</t>
  </si>
  <si>
    <t>Tháo rời các bộ phận, đường ống, hệ thống điện đi vào máy. Tháo toàn bộ khung, sàn la canh hầm máy. Tháo bu lông chân máy phục vụ sửa chữa.</t>
  </si>
  <si>
    <t>SỬA CHỮA CƠ CẤU CHÍNH CỦA MÁY</t>
  </si>
  <si>
    <t>-</t>
  </si>
  <si>
    <t>Nắp xy-lanh</t>
  </si>
  <si>
    <t>Tháo lắp các ống chướng ngại, ống góp khí nạp, khí xả, bộ cảm biến. Tháo nắp xy lanh, vệ sinh bên ngoài tại tàu. Kiểm tra vết nứt, thay gioăng nắp mới nếu cần. Lắp nắp máy xiết lại 
(Tính cho 01 xy lanh)</t>
  </si>
  <si>
    <t>xy lanh</t>
  </si>
  <si>
    <t>Tay biên, Ổ đỡ và Piston</t>
  </si>
  <si>
    <t xml:space="preserve"> Rút piston cùng tay biên, mở bạc biên kẹp chì kiểm tra khe hở, đo kiểm tra séc măng, lỗ dẫn dầu, kiểm tra khe hở bạc ắc piston, thay mới các chi tiết (nếu cần). Vệ sinh xy lanh, đo, ráp lại piston, lập bảng số liệu. 
(Tính cho 01 bộ)</t>
  </si>
  <si>
    <t>Sơ mi xy lanh</t>
  </si>
  <si>
    <t xml:space="preserve"> Tháo vệ sinh sơ mi xy lanh và khoang làm mát, đo kiểm tra độ côn, độ ô-van cửa sơ mi xy lanh, kiểm tra vòng làm kín, ráp sơ mi lại thử áp lực. 
(Tính cho 01 xy lanh)</t>
  </si>
  <si>
    <t>chiếc</t>
  </si>
  <si>
    <t xml:space="preserve"> Bạc biên và bạc trục</t>
  </si>
  <si>
    <t xml:space="preserve"> Tháo bạc, vệ sinh, kiểm tra, thay thế các chi tiết hỏng. Lắp ráp lại hoàn chỉnh. 
(Tính cho 01 bộ)</t>
  </si>
  <si>
    <t xml:space="preserve">- </t>
  </si>
  <si>
    <t xml:space="preserve"> Các te</t>
  </si>
  <si>
    <t xml:space="preserve"> Cẩu lật máy để tháo cac te ra khỏi hòm trục, vệ sinh, kiểm tra, lắp lại.</t>
  </si>
  <si>
    <t>HỆ THỐNG PHÂN PHỐI KHÍ VÀ TĂNG ÁP</t>
  </si>
  <si>
    <t xml:space="preserve"> Ống góp khí nạp và ống góp khí xả</t>
  </si>
  <si>
    <t xml:space="preserve"> Tháo vệ sinh mặt bắt kín, thay gioăng mới ống góp khí nạp, khí xả. Lắp lại</t>
  </si>
  <si>
    <t>Tuabin tăng áp khí xả</t>
  </si>
  <si>
    <t>Tháo tách tua-bin tăng áp ra khỏi bầu góp khí xả, khí nạp, tách tuabin khỏi máy. Tháo vệ sinh, kiểm tra, đo khe hở bạc trục, trục,cánh nạp, cánh xả, xéc măng. Thay mới tua-bin tăng áp</t>
  </si>
  <si>
    <t xml:space="preserve"> Sinh hàn gió</t>
  </si>
  <si>
    <t xml:space="preserve"> Tháo, vệ sinh, thay các chi tiết hỏng, lắp đặt lại hoàn chỉnh.</t>
  </si>
  <si>
    <t xml:space="preserve"> Xu páp nạp và xu páp xả</t>
  </si>
  <si>
    <t>Tháo tất cả xu páp và lò xo ra khỏi nắp xy lanh, vệ sinh, kiểm tra. Kiểm tra chỉnh khe hở nhiệt của các xu páp, kiểm tra độ kín khít giữa ống dẫn hướng và thân xu páp, rà kín các xu páp với xie mặt máy. Lắp lại, chỉnh đặt góc phân phối khí đúng yêu cầu kỹ thuật. (Tính cho 01 xylanh)</t>
  </si>
  <si>
    <t xml:space="preserve"> HỆ THỐNG NHIÊN LIỆU</t>
  </si>
  <si>
    <t xml:space="preserve"> Vòi phun nhiên liệu</t>
  </si>
  <si>
    <t>Tháo đường dầu cao áp, đường dầu hồi, muống ra khỏi vòi phun. Tháo các vòi phun ra khỏi mặt máy, vệ sinh, kiểm tra sơ bộ. Thử áp lực, cân chỉnh vòi phun theo yêu cầu kỹ thuật. Lắp lại (Tính cho 01 bộ)</t>
  </si>
  <si>
    <t xml:space="preserve"> HỆ THỐNG BÔI TRƠN</t>
  </si>
  <si>
    <t xml:space="preserve"> Sinh hàn dầu nhờn</t>
  </si>
  <si>
    <t xml:space="preserve"> HỆ THỐNG LÀM MÁT</t>
  </si>
  <si>
    <t xml:space="preserve"> Sinh hàn nước làm mát</t>
  </si>
  <si>
    <t xml:space="preserve"> Tháo, vệ sinh, thay thế các chi tiết hỏng, lắp lại hoàn chỉnh.</t>
  </si>
  <si>
    <t xml:space="preserve"> THỬ MÁY</t>
  </si>
  <si>
    <t xml:space="preserve"> Lắp ráp toàn bộ khung, sàn la canh hầm máy. Lắp ráp các bộ cảm biến, bộ điều khiển vào máy, hệ thống điện phía dưới nắp khoang máy, hoàn chỉnh các chi tiết liên vào máy.</t>
  </si>
  <si>
    <t xml:space="preserve"> Chạy rà và hiệu chỉnh máy</t>
  </si>
  <si>
    <t>lần</t>
  </si>
  <si>
    <t xml:space="preserve"> Chạy thử tại bến, kiểm tra toàn bộ hệ thống</t>
  </si>
  <si>
    <t>MÁY CHÍNH</t>
  </si>
  <si>
    <t>Hệ thống làm mát</t>
  </si>
  <si>
    <t>Tháo xả nước làm mát cũ, súc rửa hệ thống làm mát bằng dung dịch chuyên dụng.</t>
  </si>
  <si>
    <t>Căn chỉnh lại máy chính trái</t>
  </si>
  <si>
    <t>Đục phá chockfast máy chính trái, căn chỉnh lại máy chính trái theo hệ trục chân vịt, làm khuôn đổ nhựa Chockfast cho máy chính trái hoàn chỉnh.</t>
  </si>
  <si>
    <t>Tổ bơm cứu hộ ngoài tàu</t>
  </si>
  <si>
    <t>Bơm làm mát nước biển động cơ lai Diesel Steyr M14 TCAM</t>
  </si>
  <si>
    <t>Tháo, kiểm tra bảo dưỡng, thay mới 01 bộ sửa chữa bơm (gồm: cánh, phớt, vòng bi)</t>
  </si>
  <si>
    <t>PHẦN VỎ, THIẾT BỊ</t>
  </si>
  <si>
    <t>Hàn bổ sung sửa chữa cục bộ 10 vị trí ăn mòn sâu</t>
  </si>
  <si>
    <t>Điện cực chống ăn mòn đáy tàu: Thay mới 18 tấm điện cực chống ăn mòn, KT = 30x100x200, bổ sung bulông M12, cao su tấm 5ly</t>
  </si>
  <si>
    <t>Đáy phải khu vực buồng máy: Vệ sinh bên trong nhôm đáy, dũi hàn sử lý kín nước</t>
  </si>
  <si>
    <t>Bên trong buồng máy: Vệ sinh sạch dầu mỡi bên trong khoang máy phục vụ sửa chữa, vệ sinh sau sửa chữa</t>
  </si>
  <si>
    <t>Vỉ chắn rác hộp van thông biển: Cắt tháo 06 vỉ chắn rác cửa thông biển phục vụ vệ sinh bên trong sau đó lắp lại, thay 24 bu lông inox M12</t>
  </si>
  <si>
    <t>vỉ</t>
  </si>
  <si>
    <t>D</t>
  </si>
  <si>
    <t>VN</t>
  </si>
  <si>
    <t>Khí ga</t>
  </si>
  <si>
    <t xml:space="preserve">Que hàn thép </t>
  </si>
  <si>
    <t>Giẻ lau sạch</t>
  </si>
  <si>
    <t>Dây thép 2ly</t>
  </si>
  <si>
    <t>Lưới thép</t>
  </si>
  <si>
    <t>Dầu diesel</t>
  </si>
  <si>
    <t>Dầu nhờn</t>
  </si>
  <si>
    <t>Mỡ công nghiệp</t>
  </si>
  <si>
    <t>Dây chì 01 ly</t>
  </si>
  <si>
    <t>Giấy ráp</t>
  </si>
  <si>
    <t>tờ</t>
  </si>
  <si>
    <t>Bìa các loại</t>
  </si>
  <si>
    <t>Bột màu</t>
  </si>
  <si>
    <t>Nước súc rửa hệ thống làm mát động cơ máy chính</t>
  </si>
  <si>
    <t>can 3.78l</t>
  </si>
  <si>
    <t>Giăng đệm trung tu máy John Deere 4045AFM85</t>
  </si>
  <si>
    <t>Hãng máy</t>
  </si>
  <si>
    <t>Xéc măng máy John Deere 4045AFM85</t>
  </si>
  <si>
    <t>Đầu Vòi phun máy John Deere 4045AFM85 (không phải kim phun hoàn chỉnh)</t>
  </si>
  <si>
    <t>Bạc biên máy John Deere 4045AFM85</t>
  </si>
  <si>
    <t>Gioăng kim phun</t>
  </si>
  <si>
    <t>Đệm đầu kim phun</t>
  </si>
  <si>
    <t>Phớt đầu trục cơ</t>
  </si>
  <si>
    <t>Phớt đuôi trục cơ</t>
  </si>
  <si>
    <t>Đệm bưởng đầu</t>
  </si>
  <si>
    <t>Puly lai dây curoa</t>
  </si>
  <si>
    <t>Gioăng bầu lọc dầu nhờn</t>
  </si>
  <si>
    <t xml:space="preserve">            </t>
  </si>
  <si>
    <t>Tăng áp</t>
  </si>
  <si>
    <t>Lõi lọc gió</t>
  </si>
  <si>
    <t>Cánh bơm nước biển cao su</t>
  </si>
  <si>
    <t>Sơn tẩm sấy cách điện</t>
  </si>
  <si>
    <t>Chổi than cho củ phát 24v</t>
  </si>
  <si>
    <t>đôi</t>
  </si>
  <si>
    <t>Xăng A95</t>
  </si>
  <si>
    <t>Bu lông inox M14 x 40</t>
  </si>
  <si>
    <t>Gioăng cao su kín nước nắp hầm khoang máy</t>
  </si>
  <si>
    <t xml:space="preserve">Cánh bơm, phớt, phíp, vòng bi bơm làm mát nước biển động cơ lai diesel steyr M14 TCAM </t>
  </si>
  <si>
    <t>Chất chockfast 6,8kg/thùng</t>
  </si>
  <si>
    <t>AILEN</t>
  </si>
  <si>
    <t>thùng</t>
  </si>
  <si>
    <t>VẬT TƯ PHẦN VỎ+THIẾT BỊ</t>
  </si>
  <si>
    <t>Que hàn nhôm</t>
  </si>
  <si>
    <t>Khí Argon</t>
  </si>
  <si>
    <t>viên</t>
  </si>
  <si>
    <t>Kẽm chống ăn mòn, KT = 30x100x200</t>
  </si>
  <si>
    <t>cục</t>
  </si>
  <si>
    <t>Bu lông inox M12 x 60</t>
  </si>
  <si>
    <t>Cao su tấm 5ly</t>
  </si>
  <si>
    <t>PHỤ LỤC 3</t>
  </si>
  <si>
    <t>PHỤ LỤC 4</t>
  </si>
  <si>
    <t>BẢO DƯỠNG TÀU HQ11-91-86</t>
  </si>
  <si>
    <t>BẢO DƯỠNG TÀU HQ11-91-96</t>
  </si>
  <si>
    <t>PHỤ LỤC 5</t>
  </si>
  <si>
    <t>PHẦN THIẾT BỊ VỎ</t>
  </si>
  <si>
    <t xml:space="preserve">Phục vụ thay viền ngăn nước nóc cabin </t>
  </si>
  <si>
    <t>Hành lang: tháo 1800x550 tấm nhôm nội thất</t>
  </si>
  <si>
    <t>Buồng WC: tháo 01 đèn điện + 01 bình nóng lạnh + dây điện liên quan phục vụ tháo tấm trần nội thất xong lắp lại hoàn thiện</t>
  </si>
  <si>
    <t>Chống va sau lái + bên mạn</t>
  </si>
  <si>
    <t>Tháo 5 m con trạch chống va cao su phục vụ cắt thay mới 02 đoạn ốp con trạch cao su phía lái mạn trái xong lắp lại hoàn thiện.</t>
  </si>
  <si>
    <t>Cắt đoạn chống va cũ, mài, làm sạch và hàn mới 02 đoạn chống va bằng nhôm kt: 
- 6x500x400mm (Vị trí vách lái)</t>
  </si>
  <si>
    <t>* Phục vụ:</t>
  </si>
  <si>
    <t xml:space="preserve">Khoang sec tơ lái: tháo 500x500 bọc cách nhiệt phục vụ hàn cắt xong lắp lại hoàn thiện. </t>
  </si>
  <si>
    <t xml:space="preserve">Buồng máy : tháo 2 m2 bọc cách nhiệt phục vụ hàn cắt xong lắp lại hoàn thiện. </t>
  </si>
  <si>
    <t>NGHI KHÍ HÀNG HẢI</t>
  </si>
  <si>
    <t>Hệ thống camera chuyên dụng CAM210 IP</t>
  </si>
  <si>
    <t>Bộ lưu nguồn Santak 1kVA: Thay mới 01 bộ lưu nguồn Santak 1kVA hoặc tương đương, lắp đặt hoàn chỉnh.</t>
  </si>
  <si>
    <t>Đầu ghi: Thay mới 01 swich POE Tenda kèm nguồn.</t>
  </si>
  <si>
    <t>Vị trí sau lái: Sửa chữa, thay thế linh kiện hỏng. Không thay thế Camera theo yêu cầu của ĐVCT. Vật tư: 35m dây mạng CAT7, 02 giắc RJ45 bọc inox chống nhiễu, 01 bộ nối dây mạng trung gian. A2 phân xưởng Đà đốc, Vỏ bóc mộc trần phục vụ đi dây tín hiệu. Vật tư phụ: Dây rút L300 200 cái; dầu rửa mạch in Axeton 0,5 lít; thiếc hàn nước Solderpastor 1 hộp; mỡ hàn Kimqbo 0,1kg; keo tản nhiệt MX-4 01 hộp.</t>
  </si>
  <si>
    <t>Vị trí mũi: Sửa chữa, thay thế linh kiện hỏng. Không thay thế Camera theo yêu cầu của ĐVCT. Vật tư: 20m dây mạng CAT7, 03 giắc RJ45 bọc inox chống nhiễu, 01 bộ nối dây mạng trung gian. A2 phân xưởng Đà đốc, Vỏ bóc mộc trần phục vụ đi dây tín hiệu.</t>
  </si>
  <si>
    <t>Vị trí buồng máy phía trước: Sửa chữa, thay thế linh kiện hỏng. Không thay thế Camera theo yêu cầu của ĐVCT. Vật tư: 45m dây mạng CAT7, 02 giắc RJ45 bọc inox chống nhiễu, 01 bộ nối dây mạng trung gian. A2 phân xưởng Đà đốc, Vỏ bóc mộc trần phục vụ đi dây tín hiệu. Vật tư phụ: bút đánh dấu 01 cái; băng dính cách điện 04 cuộn; băng dính đánh dấu 02 cuộn; băng dính  vàng 01 cuộn.</t>
  </si>
  <si>
    <t>Vị trí buồng máy phía sau: Sửa chữa, thay thế linh kiện hỏng. Không thay thế Camera theo yêu cầu của ĐVCT. Vật tư: 40m dây mạng CAT7, 03 giắc RJ45 bọc inox chống nhiễu, 01 bộ nối dây mạng trung gian, 01 swich POE Tenda kèm nguồn. A2 phân xưởng Đà đốc, Vỏ bóc mộc trần phục vụ đi dây tín hiệu.</t>
  </si>
  <si>
    <t>phao</t>
  </si>
  <si>
    <t>Máy chính Baudouin 12M26.3-số máy trái 0162 &amp; phải 0164; 1650hp x 2300 vg/ph</t>
  </si>
  <si>
    <t>Tháo thay mới vật tư định kỳ máy chính gồm:</t>
  </si>
  <si>
    <t>Lọc dầu nhờn</t>
  </si>
  <si>
    <t>Lọc tinh nhiên liệu</t>
  </si>
  <si>
    <t>Lọc ly tâm dầu nhờn</t>
  </si>
  <si>
    <t xml:space="preserve">Lọc nhớt hộp số </t>
  </si>
  <si>
    <t>Đường ống nước biển ra: Ống Φ50x1m: Thay mới đường ống theo hãng máy sản xuất.</t>
  </si>
  <si>
    <t>ống</t>
  </si>
  <si>
    <t xml:space="preserve">Tiểu tu máy phụ Kohler 50EFOZDJ </t>
  </si>
  <si>
    <t xml:space="preserve">Nhân công tiểu tu máy phụ Kohler 50EFOZDJ </t>
  </si>
  <si>
    <t>Động cơ</t>
  </si>
  <si>
    <t>Hệ tay giật và van đóng nhanh</t>
  </si>
  <si>
    <t xml:space="preserve">Van đóng nhanh két dầu trực nhật mạn trái: Van một chiều 10K32 bằng đồng: Vệ sinh, bảo dưỡng. Thay mới: 0,5m tết chỉ mỡ Φ8. Lắp ráp hoàn thiện. </t>
  </si>
  <si>
    <t>Ống thép mạ kẽm Φ42: Vệ sinh, bảo dưỡng. Lắp ráp hoàn thiện.</t>
  </si>
  <si>
    <t>Đường ống tay giật két trực nhật phải: ống thép Φ18</t>
  </si>
  <si>
    <t>Dây cáp Φ4</t>
  </si>
  <si>
    <t>Đường ống tay giật két trực nhật trái: ống thép Φ18</t>
  </si>
  <si>
    <t>3.3</t>
  </si>
  <si>
    <t>Đường ống tay giật két dự trữ trái: ống thép Φ18</t>
  </si>
  <si>
    <t>3.4</t>
  </si>
  <si>
    <t>Đường ống tay giật két dự trữ phải: ống thép Φ18</t>
  </si>
  <si>
    <t>3.5</t>
  </si>
  <si>
    <t>Hộp van đóng nhanh</t>
  </si>
  <si>
    <t>Nội dung khác</t>
  </si>
  <si>
    <t>Khung xương + ván sạp: Tháo xong, lắp lại hoàn thiện</t>
  </si>
  <si>
    <t>4.2</t>
  </si>
  <si>
    <t>Đường ống thông biển giữa hai hộp lọc thông biển: Ống thép Φ140: Tháo xong, lắp lại hoàn thiện</t>
  </si>
  <si>
    <t>Ống thép Φ60: 2 đoạn x 0,3m: Tháo xong, lắp lại hoàn thiện</t>
  </si>
  <si>
    <t>Ống thép Φ34: 2 đoạn x 0,3m: Tháo xong, lắp lại hoàn thiện</t>
  </si>
  <si>
    <t>Ống thép Φ21: 2 đoạn x 0,3m: Tháo xong, lắp lại hoàn thiện</t>
  </si>
  <si>
    <t>4.3</t>
  </si>
  <si>
    <t>Đường ống dầu cháy</t>
  </si>
  <si>
    <t>Ống thép Φ34: Tháo xong, lắp lại hoàn thiện</t>
  </si>
  <si>
    <t>Ống thép Φ27: Tháo xong, lắp lại hoàn thiện</t>
  </si>
  <si>
    <t>Cụm kín nước trục chân vịt: Tháo bích ép tết, vệ sinh hộp tết thay mới tết chỉ kín nước Ф16=7m, lắp ép hoàn thiện.</t>
  </si>
  <si>
    <t>Trục chân vịt Φ135x5800: Trước khi tàu lên triền, tháo bulông tách bích trục tuốc tô, đo kiểm tra độ đồng tâm, gãy khúc hệ trục chân vịt.</t>
  </si>
  <si>
    <t>Chân vịt đồng 5 cánh D1100: Cạo hà, vệ sinh thân trục tại tàu, đánh bóng, làm sạch bề mặt các cánh chân vịt.</t>
  </si>
  <si>
    <t>Chắn rác 2 nửa Φn245xΦnt235xL105: Vệ sinh, sử dụng lại</t>
  </si>
  <si>
    <t>Bu lông vành chắn rác M8x30 + 1 đệm bằng, 1 đệm vênh: Thay mới 8 bộ bằng inox (Sus304)</t>
  </si>
  <si>
    <t xml:space="preserve">Tết chỉ kín nước trục Φ20: Thay mới 08m </t>
  </si>
  <si>
    <t>Bích nén tết Φ230xΦ137x62: Bảo quản, sử dụng lại</t>
  </si>
  <si>
    <t>Gu dông nén tết M12x115 + 2 ê cu (inox): Sửa nguội ren, tra mỡ bảo quản, sử dụng lại</t>
  </si>
  <si>
    <t xml:space="preserve">Trục lái + bánh lái: Cạo hà, vệ sinh làm sạch bánh lái tại tàu. </t>
  </si>
  <si>
    <t>Cuộn UVT 380V-415V-50/60Hz-10VA (TC18281): Thay mới cuộn UVT 380V-415V-50/60Hz-10VA Schneider</t>
  </si>
  <si>
    <t>Thay mới 01 bộ biến tần khởi động neo TD90-3R7G/5R5P-4-02; 3P-380V-3,7/5,5kW  0-600Hz</t>
  </si>
  <si>
    <t>Điều hoà thuỷ 220V-6000BTU-50Hz phòng số 1: Vệ sinh bảo dưỡng điều hòa, sửa chữa lốc, nạp bổ sung ga, thay mới 01 tụ điện 20-3μF 440V-50/60Hz, sau khi xong chuyển xuống tàu lắp đặt, thử nghiệm thu hoàn thiện.</t>
  </si>
  <si>
    <t xml:space="preserve">bộ </t>
  </si>
  <si>
    <t>HỆ THỐNG VAN ỐNG</t>
  </si>
  <si>
    <t>Hộp van thông biển: Tháo lưới chắn rác, gia công hộp chụp Φ260 cao 100 bằng thép tấm d8, dùng kích ép sát hộp với thân tàu, hàn đầu vòi bơm khí giữ áp lực P = 0.25 kG/cm2, kiểm tra kín bằng dung dịch nước xà phòng. Thử kín xong lắp lại lưới chắn rác hoàn thiện.</t>
  </si>
  <si>
    <t>Hệ thống van thông biển</t>
  </si>
  <si>
    <t>Van thông biển máy chính trái: Van cánh bướm 5K200A: Đúc mới gioăng cao su làm kín theo thân van bằng thép. Sử dụng lại cánh van bằng đồng. Thử kín van bằng nước áp lực 5kG/cm², sơn chống gỉ, sơn xanh, lắp ráp van hoàn thiện, kết hợp thử kín hộp van.</t>
  </si>
  <si>
    <t>Bu lông liên kết van với lọc thông biển: Bu lông M20x130: Thay mới: 4 bộ bu lông M20x130 + êcu, đệm bằng, đệm vênh (thép mạ kẽm).</t>
  </si>
  <si>
    <t>Nắp chỉ báo KT: Φn64, khoan 2 lỗ Φ5 bằng Inox d2: Gia công thay mới: 01 nắp chỉ báo KT: Φn64x khoan 2 lỗ Φ5xd2 (Inox SUS 304). Thay mới: 2 bu lông M4x15 + êcu, đệm bằng, đệm vênh (Inox)</t>
  </si>
  <si>
    <t>Chốt cố định tay đóng mở van: Gia công thay mới 01 chốt cố định Inox Φ6x35, khoan lỗ Φ3.</t>
  </si>
  <si>
    <t>Van thông biển máy chính phải: Van cánh bướm 5K200A: Tháo trục cánh van, gia công khoan 2 chốt định vị trục cánh van. Thay mới 02 chốt côn bằng đồng Φ12x50. Lắp ráp hoàn thiện. Thử hoạt động, thử kín van bằng nước áp lực 5kG/cm², sơn chống gỉ, sơn xanh, lắp ráp van hoàn thiện, kết hợp thử kín hộp van.</t>
  </si>
  <si>
    <t xml:space="preserve">Nắp chỉ báo KT: Φn64, khoan 2 lỗ Φ5 bằng Inox d2: Gia công thay mới: 01 nắp chỉ báo KT: Φn64x khoan 2 lỗ Φ5xd2 (Inox SUS 304). </t>
  </si>
  <si>
    <t>Van thông biển máy phụ phải: Van cánh bướm 5K200A: Vệ sinh, bảo dưỡng, thử kín van bằng nước áp lực 5kG/cm², sơn chống gỉ, sơn xanh, lắp ráp van hoàn thiện, kết hợp thử kín hộp van.</t>
  </si>
  <si>
    <t>Van thông biển máy phụ trái: Van cánh bướm 5K200A: Vệ sinh, bảo dưỡng, thử kín van bằng nước áp lực 5kG/cm², sơn chống gỉ, sơn xanh, lắp ráp van hoàn thiện, kết hợp thử kín hộp van.</t>
  </si>
  <si>
    <t>Lọc thông biển (thép) KT: Φn285xΦt190xL385: Vệ sinh, bảo dưỡng, sơn chống gỉ, sơn ghi. Lắp ráp hoàn thiện</t>
  </si>
  <si>
    <t>Bu lông liên kết với van chặn sau lọc thông biển M16x120 (8 bộ x 1 lọc): Thay mới: 16 bộ bu lông M16x120 + êcu, đệm bằng, đệm vênh (thép mạ kẽm).</t>
  </si>
  <si>
    <t>Lưới lọc thông biển bằng Inox: Φn85xL375xd2: Vệ sinh, bảo dưỡng, dùng lại. Lắp ráp hoàn thiện.</t>
  </si>
  <si>
    <t>Nắp lọc thông biển Φ345xd14: Vệ sinh, bảo dưỡng, dùng lại. Lắp ráp hoàn thiện.</t>
  </si>
  <si>
    <t>Van thông hơi trên nắp hộp lọc thông biển: Van tay gạt Dy15: Vệ sinh, bảo dưỡng. Sử dụng lại. Lắp ráp hoàn thiện.</t>
  </si>
  <si>
    <t>Đường ống thông hơi: ống thép mạ kẽm Φ21 (0,5m x 1 đoạn): Vệ sinh, bảo dưỡng. Sử dụng lại. Lắp ráp hoàn thiện.</t>
  </si>
  <si>
    <t>Van chặn sau lọc thông biển: Van cánh bướm Dy125: Vệ sinh, bảo dưỡng. Ghi nhận tình trạng của van. Lắp ráp hoàn thiện. Thử hoạt động.</t>
  </si>
  <si>
    <t>Nắp chỉ báo KT: Φn64, khoan 2 lỗ Φ5 bằng Inox d2: Gia công thay mới: 02 nắp chỉ báo KT: Φn64x khoan 2 lỗ Φ5xd2 (Inox SUS 304).</t>
  </si>
  <si>
    <t>Bu lông liên kết nắp van M6x20 (4 bộ x 1 van): Thay mới: 16 bộ bu lông M6x20 + êcu, đệm bằng, đệm vênh (Inox SUS 304)</t>
  </si>
  <si>
    <t>Bu lông liên kết cố định tay mở van M8x30 (2 bộ x 1 van): Thay mới: 8 bộ bu lông M8x30 + êcu, đệm bằng, đệm vênh (Inox SUS 304)</t>
  </si>
  <si>
    <t>Khâu nối trung gian giữa van thông biển và hộp lọc thông biển (bằng thép): Φ320xΦ345xL100: Vệ sinh, bảo dưỡng. Sử dụng lại. Lắp ráp hoàn thiện.</t>
  </si>
  <si>
    <t>Van thổi bùn máy chính, máy phụ 16K15: Tiện láng, rà sửa côn van. Thay mới: 2m tết chỉ mỡ Φ4.</t>
  </si>
  <si>
    <t>Đệm nhựa làm kín Φn45xΦt36xd1: Gia công thay mới: 04 đệm nhựa Φn45xΦt36xd1</t>
  </si>
  <si>
    <t>Bu lông liên kết M12x40 (8 bộ x 1 van): Thay mới: 32 bộ bu lông M12x40 + êcu, đệm bằng, đệm vênh (Inox SUS 304)</t>
  </si>
  <si>
    <t>Đường ống khí thổi bùn: ống thép Φ21 (nối từ đường trung tâm qua 04 hộp lọc thông biển, nối giữa hai hộp lọc): 04 đoạn; 10 mặt bích 5K15: Vệ sinh, bảo dưỡng. Lắp ráp hoàn thiện</t>
  </si>
  <si>
    <t>Bu lông liên kết M12x40: Thay mới: 36 bộ bu lông M12x40 + êcu, đệm bằng, đệm vênh (Inox SUS 304)</t>
  </si>
  <si>
    <t>Hệ thống van, đường ống làm mát trục</t>
  </si>
  <si>
    <t>Van làm mát trục: Van 5K25: Tiện láng, rà sửa côn van. Thay mới: 1m tết chỉ mỡ Φ4.</t>
  </si>
  <si>
    <t>Đệm nhựa làm kín Φn52xΦt42xd1: Gia công thay mới: 02 đệm nhựa Φn52xΦt42xd1</t>
  </si>
  <si>
    <t>Bu lông liên kết M10x40 (8 bộ x 1 van): Thay mới: 16 bộ bu lông M10x40 + êcu, đệm bằng, đệm vênh (Inox SUS 304)</t>
  </si>
  <si>
    <t>Kính quan sát Dy25: Vệ sinh, bảo dưỡng, Thay mới: 04 meca Φn51xd4</t>
  </si>
  <si>
    <t>Bu lông liên kết M10x40 (8 bộ x 1 cái): Gia công, khoan, nhổ các bu lông gãy trên thân kính. Taro lại ren. Thay mới: 16 bộ bu lông M10x40 + êcu, đệm bằng, đệm vênh (Inox SUS 304).</t>
  </si>
  <si>
    <t>Đường ống làm mát trục: Ống thép mạ kẽm Φ21 (4 đoạn x 3 m): Vệ sinh, bảo dưỡng. Lắp ráp hoàn thiện.</t>
  </si>
  <si>
    <t>Đường ống nối kính quan sát với van làm mát trục: Ống thép Φ34x150 + 02 mặt bích 5K25: Vệ sinh, bảo dưỡng. Lắp ráp hoàn thiện.</t>
  </si>
  <si>
    <t>đoạn</t>
  </si>
  <si>
    <t xml:space="preserve">Hệ thống đường ống: </t>
  </si>
  <si>
    <t xml:space="preserve">Đường ống xả mạn bơm cứu hộ: </t>
  </si>
  <si>
    <t>Ống thép mạ kẽm Φ60: Cắt, hàn thay mới: 0,5m ống Inox SUS 304 Φ60</t>
  </si>
  <si>
    <t>Bu lông liên kết M16x45: Thay mới: 16 bộ bu lông M16x45 + êcu, đệm bằng, đệm vênh (Inox SUS 304).</t>
  </si>
  <si>
    <t>Van điện cánh bướm 5K50: Tháo phục vụ sửa chữa. Lắp lại hoàn chỉnh</t>
  </si>
  <si>
    <t xml:space="preserve">Vệ sinh 01 két dầu 0,87m3 trong buồng máy và 01 két 4,84m3 giữa tàu trước buồng máy </t>
  </si>
  <si>
    <t>Vệ sinh làm sạch két dầu: Két dầu trực nhật 0.87 m3 x 1 két</t>
  </si>
  <si>
    <t>Két dầu DO-2C 4.84 m3</t>
  </si>
  <si>
    <t>PHẦN TÀU LÊN TRIỀN, SÀN NÂNG</t>
  </si>
  <si>
    <t>Đế căn thép</t>
  </si>
  <si>
    <t xml:space="preserve"> Kg </t>
  </si>
  <si>
    <t>Kẽm chống ăn mòn</t>
  </si>
  <si>
    <t>210x100x30</t>
  </si>
  <si>
    <t>Tấm chống ăn mòn trục chân vịt</t>
  </si>
  <si>
    <t>171x127x95</t>
  </si>
  <si>
    <t>110x18</t>
  </si>
  <si>
    <t xml:space="preserve">Gu dông inox </t>
  </si>
  <si>
    <t>M12x50 (SUS304)</t>
  </si>
  <si>
    <t>Đệm bằng inox</t>
  </si>
  <si>
    <t>M12</t>
  </si>
  <si>
    <t xml:space="preserve">Ê cu inox </t>
  </si>
  <si>
    <t>M8</t>
  </si>
  <si>
    <t>Cao su tấm chịu dầu d5</t>
  </si>
  <si>
    <t>Nhôm chống va sau lái + bên mạn</t>
  </si>
  <si>
    <t xml:space="preserve"> kt:
6x500x400mm</t>
  </si>
  <si>
    <t>Bọc tay nghế lái</t>
  </si>
  <si>
    <t xml:space="preserve">Cái </t>
  </si>
  <si>
    <t>PHẦN ĐIỆN, NGHI KHÍ HÀNG HẢI</t>
  </si>
  <si>
    <t>Băng dính đen cách điện</t>
  </si>
  <si>
    <t xml:space="preserve">Bộ lưu nguồn Santak 1kVA </t>
  </si>
  <si>
    <t>Swich POE Tenda kèm nguồn</t>
  </si>
  <si>
    <t>Dây mạng CAT7</t>
  </si>
  <si>
    <t>Giắc RJ45 bọc inox chống nhiễu</t>
  </si>
  <si>
    <t>Bộ nối dây mạng trung gian</t>
  </si>
  <si>
    <t>Dây rút L300</t>
  </si>
  <si>
    <t>Dầu rửa mạch in Axeton</t>
  </si>
  <si>
    <t>Thiếc hàn nước Solderpastor</t>
  </si>
  <si>
    <t>hộp</t>
  </si>
  <si>
    <t>Mỡ hàn Kimqbo</t>
  </si>
  <si>
    <t>Keo tản nhiệt MX-4</t>
  </si>
  <si>
    <t>Bút đánh dấu</t>
  </si>
  <si>
    <t>Băng dính đánh dấu</t>
  </si>
  <si>
    <t>cuộn</t>
  </si>
  <si>
    <t>Băng dính vàng</t>
  </si>
  <si>
    <t>Transitor 75ND</t>
  </si>
  <si>
    <t>IC MAX 232</t>
  </si>
  <si>
    <t>IC 4558</t>
  </si>
  <si>
    <t>IC 74HC</t>
  </si>
  <si>
    <t>Tụ dán 470µF/16V</t>
  </si>
  <si>
    <t>Rơ-le 8 chân 12V</t>
  </si>
  <si>
    <t>Bộ đổi nguồn 13,8VDC/6,5VDC-3A</t>
  </si>
  <si>
    <t>Giắc 9 chân</t>
  </si>
  <si>
    <t>Phím ấn</t>
  </si>
  <si>
    <t>Tụ 2200µF/35V</t>
  </si>
  <si>
    <t>Pin chuyên dụng</t>
  </si>
  <si>
    <t>Bộ nhả</t>
  </si>
  <si>
    <t>Chuyển mạch</t>
  </si>
  <si>
    <t>Máy chính Baudouin 12M26.3; Hộp số ZF665</t>
  </si>
  <si>
    <t xml:space="preserve"> Model: 12M26.3; Công suất 1650HP; 2300 vòng/ phút; </t>
  </si>
  <si>
    <t>15049130A</t>
  </si>
  <si>
    <t>Đường ống nước biển ra: Ống Φ50x1m</t>
  </si>
  <si>
    <t>Vật tư tiểu tu máy đèn Kohler 50EFOZDJ x 1 động cơ</t>
  </si>
  <si>
    <t>Bạc biên</t>
  </si>
  <si>
    <t>Bộ gioăng đệm sửa chữa bao gồm: Bộ gioăng xy lanh, gioăng mặt máy, phớt đầu trục cơ, phớt đuôi trục cơ, phớt ghít xu páp, đệm kín tăng áp với ống xả, đệm cổ xả, đệm cổ nạp, đệm các te)</t>
  </si>
  <si>
    <t>Lọc dầu nhờn máy xuồng Yamaha</t>
  </si>
  <si>
    <t>Lõi lọc tinh nhiên liệu máy xuồng Yamaha</t>
  </si>
  <si>
    <t>Kẽm chống ăn mòn máy xuồng Yamaha</t>
  </si>
  <si>
    <t>Vật tư dự phòng cho bảo dưỡng định kỳ</t>
  </si>
  <si>
    <t>Kẽm chống ăn mòn máy phụ 50kw</t>
  </si>
  <si>
    <t>Vỉ mạch kích từ máy phụ 50kw</t>
  </si>
  <si>
    <t>Cảm biến nhiệt độ nước làm mát máy phụ 50kw</t>
  </si>
  <si>
    <t>Cảm biến áp lực dầu nhờn máy phụ 50kw</t>
  </si>
  <si>
    <t>Bộ vòng bi sửa chữa bơm nước biển máy phụ 50kw</t>
  </si>
  <si>
    <t>Hệ thống tay giật van đóng nhanh</t>
  </si>
  <si>
    <t>Tết chỉ luộc mỡ</t>
  </si>
  <si>
    <t>Bu lông inox M8x30 + 1 đệm bằng, 1 đệm vênh (Sus304)</t>
  </si>
  <si>
    <t xml:space="preserve">Chốt chẻ thép </t>
  </si>
  <si>
    <t>Φ3x40</t>
  </si>
  <si>
    <t>Cuộn UVT 380V-415V-50/60Hz-10VA Schneider</t>
  </si>
  <si>
    <t>Thay mới 01 bộ biến tần TD90-3R7G/5R5P-4-02; 3P-380V-3,7/5,5kW  0-600Hz</t>
  </si>
  <si>
    <t>Tụ điện 20-3μF 440V-50/60Hz</t>
  </si>
  <si>
    <t>VII</t>
  </si>
  <si>
    <t>Hệ thống van ống thông biển</t>
  </si>
  <si>
    <t>Gioăng cao su làm kín van cánh bướm theo thân van bằng thép</t>
  </si>
  <si>
    <t>Dt200x60x4</t>
  </si>
  <si>
    <t>Bu lông M20x130 + êcu, đệm bằng, đệm vênh (thép mạ kẽm)</t>
  </si>
  <si>
    <t>Nắp chỉ báo KT: Φn64x khoan 2 lỗ Φ5xd2 (Inox SUS 304)</t>
  </si>
  <si>
    <t>Bu lông M4x15 + êcu, đệm bằng, đệm vênh (Inox)</t>
  </si>
  <si>
    <t>Chốt cố định Inox Φ6x35</t>
  </si>
  <si>
    <t>Bu  lông M16x120 + êcu, đệm bằng, đệm vênh (thép mạ kẽm).</t>
  </si>
  <si>
    <t>Bu lông M6x20 + êcu, đệm bằng, đệm vênh (Inox SUS 304)</t>
  </si>
  <si>
    <t>Bu lông M20x50 + êcu, đệm bằng, đệm vênh (thép mạ kẽm)</t>
  </si>
  <si>
    <t>Tết chỉ 4x4</t>
  </si>
  <si>
    <t>4x4</t>
  </si>
  <si>
    <t>Đệm nhựa Φn45xΦt36xd1</t>
  </si>
  <si>
    <t>Bu lông M12x40 + êcu, đệm bằng, đệm vênh (Inox SUS 304)</t>
  </si>
  <si>
    <t>Bu lông M10x40 + êcu, đệm bằng, đệm vênh (Inox SUS 304)</t>
  </si>
  <si>
    <t>Ống Inox SUS 304</t>
  </si>
  <si>
    <t>Ф60x5</t>
  </si>
  <si>
    <t>Bu lông M16x45 + êcu, đệm bằng, đệm vênh (Inox SUS 304).</t>
  </si>
  <si>
    <t>PHẦN VỎ, TRANG THIẾT BỊ TRÊN BOONG VÀ LÁI</t>
  </si>
  <si>
    <t>Cục kẽm chống ăn mòn vỏ tàu.</t>
  </si>
  <si>
    <t>* Phục vụ thay kẽm</t>
  </si>
  <si>
    <t xml:space="preserve"> - Két dầu liền vỏ: Tháo bu lông nắp két, đóng kín các van, vận chuyển đường ống bơm nước rửa xung quanh thành vách trần két dầu, ngâm nước 24 h. Xong bơm hút vét nước ra ngoài, vệ sinh sạch sẽ. Thuê đơn vị ngoài đo nồng độ két phục vụ sửa chữa.</t>
  </si>
  <si>
    <t xml:space="preserve"> - Đo nồng độ các két dầu phục vụ thay kẽm các két cụ thể:</t>
  </si>
  <si>
    <t>két</t>
  </si>
  <si>
    <t xml:space="preserve"> + Két dầu liền vỏ giữa từ #21 - #27  dung tích V=33 m3 x 1 két.</t>
  </si>
  <si>
    <t xml:space="preserve"> + Két dầu liền vỏ giữa từ #27 - #30  dung tích V=10 m3 x 1 két.</t>
  </si>
  <si>
    <t xml:space="preserve"> - Tháo thay mới kẽm chống ăn mòn bánh lái Kt: Φ125xd21x4 tấm, loại bắt gudông. Thay mới 04 bộ gudông M10x30, êcu, đệm bằng inox, đệm cao su Φ125xd3 = 4 tấm</t>
  </si>
  <si>
    <t>* Phục vụ: Tháo rút dầu bánh lái, sau sửa chữa tận dụng đổ lại</t>
  </si>
  <si>
    <t xml:space="preserve"> - Tháo thay mới kẽm chống ăn mòn trục chân vịt:</t>
  </si>
  <si>
    <t xml:space="preserve"> + Trục chân vịt 2 bên Kt: Φn184xΦt140x2 tấm</t>
  </si>
  <si>
    <t xml:space="preserve"> + Trục chân vịt giữa: Kt: Φn209xΦt165x1 tấm</t>
  </si>
  <si>
    <t xml:space="preserve"> - Tháo thay mới kẽm chống ăn mòn hộp van thông biển: kt 60x80x30x3 tấm x6 hộp van, loại khoan 02 lỗ bắt gudông; thay mới gudông inox M10x30x2 bộ/ tấm x18 tấm</t>
  </si>
  <si>
    <t>Lan can boong chính</t>
  </si>
  <si>
    <t>- Gia công sửa chữa lan can boong chính:</t>
  </si>
  <si>
    <t>+ Từ Sn 1-Sn3 (MT): cắt thay mới đoạn ống gãy hỏng bằng ống nhôm kt Φ38,1x3 = 2000</t>
  </si>
  <si>
    <t>+ Từ Sn5-Sn8 (MT): Cắt chuyển về xưởng, nắn sửa lại 03m ống ngang Φ38; thay mới ống chéo: ống nhôm Φ31,75x3 = 600x2 ống, đệm chân 50x100xd6x2 tấm, bulông M10x40x4 bộ (inox). Hàn lại hoàn chỉnh</t>
  </si>
  <si>
    <t>+ Từ Sn14-S16 (MT): cắt thay mới đoạn ống ngang gãy hỏng bằng ống nhôm kt Φ31,75x3 = 1500, thay đệm chân ống đứng 50x100xd6, bulông M10x40x4 bộ (inox)</t>
  </si>
  <si>
    <t>+ Từ Sn31-Sn33 (MT):  cắt thay mới đoạn ống ngang gãy hỏng bằng ống nhôm kt Φ38,1x3 = 1400</t>
  </si>
  <si>
    <t>+ Từ Sn14-Sn18 (MP):  cắt thay mới đoạn ống đứng gãy hỏng bằng ống nhôm kt Φ38,1x3 = 1000, thay đệm chân ống đứng 50x100xd6, bulông M10x40x4 bộ (inox), hàn lại 02 ống chéo Φ31,75</t>
  </si>
  <si>
    <t>Cầu thang đứng xuống sạp thao tác sau lái</t>
  </si>
  <si>
    <t>- Cầu thang đứng xuống sạp thao tác sau lái: Cắt tháo bulông cố định cầu thang, cắt tháo ống vị trí tay vịn, chuyển cầu thang lên xưởng sửa chữa, hàn lại cầu thang hoàn chỉnh xuống tàu.</t>
  </si>
  <si>
    <t>+ Ống đứng: ống nhôm kt Φ38,1x3 = 1000</t>
  </si>
  <si>
    <t>+ Tai cố định: nhôm tấm kt 50x100xd6= 4 tai, khoan lỗ Φ13 bắt bulông với vách lái M10x40 = 8 bộ (inox)</t>
  </si>
  <si>
    <t>tai</t>
  </si>
  <si>
    <t>- Gia công sửa chữa con trạch cao su:</t>
  </si>
  <si>
    <t xml:space="preserve">+  Trạch cao su từ Sn0- Sn6: </t>
  </si>
  <si>
    <t>Tháo tách 12 bộ bulông M16x190, tách 6m con trạch, khoan mới 8 lỗ bắt bulông Φ20, thay mới 05 bộ bulông inox, êcu, đệm bằng inox M16x190 (thân ren dài 40)</t>
  </si>
  <si>
    <t>Thay mới đoạn lợi bắt cao su: thép tấm kt 50x1500xd6x2 tấm, lấy dấu khoan 16 lỗ đồng bộ với con trạch</t>
  </si>
  <si>
    <t>* Phục vụ: tháo cách nhiệt bông thủy tinh dày 50 vị trí trần- vách khoang séc tơ kt 400x2000, sau sửa chữa thay mới cách nhiệt, bọc giấy bạc hoàn chỉnh</t>
  </si>
  <si>
    <t xml:space="preserve">+  Trạch cao su từ Sn21- Sn25: </t>
  </si>
  <si>
    <t>Tháo tách 10 bộ bulông M16x190, tách 5m con trạch, khoan mới 5 lỗ bắt bulông Φ20, thay mới 05 bộ bulông inox, êcu, đệm bằng inox M16x190 (thân ren dài 40)</t>
  </si>
  <si>
    <t>Nắn sửa lại đoạn lợi bắt cao su: thép tấm kt 50x2000xd6x2 tấm, lấy dấu khoan 10 lỗ đồng bộ với con trạch</t>
  </si>
  <si>
    <t>PHẦN TRANG THIẾT BỊ HÀNG HẢI</t>
  </si>
  <si>
    <t>Hải đồ điện tử: Tháo, kiểm tra, thay các chi tiết hỏng. Lắp ráp hoàn thiện, cập nhật phần mềm, thử hoạt động (thuê ngoài thực hiện)</t>
  </si>
  <si>
    <t>PHẦN TRANG THIẾT BỊ BUỒNG MÁY</t>
  </si>
  <si>
    <t>Máy phát KOHLER; 3F/380V125KW/50HZ. Model 125EOD; 1500v/p</t>
  </si>
  <si>
    <t xml:space="preserve">Máy phát số 2 KOHLER; Model 125EOD; 3F/380V; 125kW/50Hz; 1500v/ph khoang máy sau: Tháo rã, đo kiểm, lắp ráp hoàn thiện trung tu 01 động cơ máy KOHLER </t>
  </si>
  <si>
    <t>đ/c</t>
  </si>
  <si>
    <t>Máy chính - 12VP185TCM TráiI/ Phải (2 máy) và Máy chính giữa 18VP185TCM</t>
  </si>
  <si>
    <t>Cảm biến nhiệt độ khí xả của máy chính trái: Thay mới cảm biến TE24 máy chính mạn trái</t>
  </si>
  <si>
    <t>Màn hình hiển thị thông số máy chính trên cabin: Tháo, kiểm tra, sửa chữa, thay thế. Lắp ráp thử hoạt động.</t>
  </si>
  <si>
    <t>Hệ van thông biển</t>
  </si>
  <si>
    <t>Hệ thống van và đường ống nước biển làm mát máy chính.</t>
  </si>
  <si>
    <t>Bu lông liên kết van với lọc thông biển: Bu lông M20x145: Thay mới: 8 bộ bu lông M20x145 + êcu, đệm bằng, đệm vênh (thép mạ kẽm).</t>
  </si>
  <si>
    <t>Bu lông liên kết van với lọc thông biển: Bu lông M20x45: Thay mới: 8 bộ bu lông M20x45 + êcu, đệm bằng, đệm vênh (thép mạ kẽm).</t>
  </si>
  <si>
    <t>Nắp chỉ báo: Gia công thay mới: 01 nắp chỉ báo KT: Φn100xΦc55x 2 lỗ Φ5xd2 (Inox SUS 304).</t>
  </si>
  <si>
    <t>Nắp van: Gia công thay mới 01 nắp van KT: 200x180x10 (Nhôm)</t>
  </si>
  <si>
    <t>Nắp chỉ báo: Gia công thay mới 01 nắp chỉ báo KT: Φn100xΦc55x 2 lỗ Φ5xd2 (Inox SUS 304).</t>
  </si>
  <si>
    <t>Van thông biển mạn trái máy chính KMS: Van cánh bướm 5K300A: Đúc mới gioăng cao su làm kín theo thân van bằng thép. Sử dụng lại cánh van bằng đồng. Thử kín van bằng nước áp lực 5kG/cm², sơn chống gỉ, sơn xanh, lắp ráp van hoàn thiện, kết hợp thử kín hộp van.</t>
  </si>
  <si>
    <t>Bu lông liên kết M20x145 (8 bộ x 1 van): Thay mới: 48 bộ bu lông M20x145 + êcu, đệm bằng, đệm vênh (thép mạ kẽm).</t>
  </si>
  <si>
    <t>Lọc thông biển máy chính KT: Φ460xL550: Vệ sinh, bảo dưỡng, sơn chống gỉ, sơn ghi. Lắp ráp hoàn thiện</t>
  </si>
  <si>
    <t>Bu lông liên kết van thông hơi trên nắp lọc thông biển: Bu lông M10x30 (4bộ x 1 nắp): - Gia công lỗ bu lông trên nắp lọc, khoan, taro lại ren. 
- Thay mới: 16 bộ bu lông M10x30 + êcu, đệm bằng, đệm vênh (thép mạ kẽm).</t>
  </si>
  <si>
    <t>Kẽm ăn mòn KT: 90x60x30 (3 cái x 1 lọc thông biển): Gia công thay mới: 12 kẽm ăn mòn KT: 90x60x30 (khoan 2 lỗ Φ7, Φc50)</t>
  </si>
  <si>
    <t>Bu lông liên kết kẽm với lưới lọc M6x40 : Thay mới: 8 bộ bu lông M6x40 + êcu, đệm bằng, đệm vênh (Inox SUS 304).</t>
  </si>
  <si>
    <t>Van xả mạn máy chính</t>
  </si>
  <si>
    <t>Van xả mạn máy chính: Van MB 90º 10K100: Thay mới van</t>
  </si>
  <si>
    <t>Kính quan sát 10K100: Vệ sinh, bảo dưỡng. Lắp ráp hoàn thiện.</t>
  </si>
  <si>
    <t>Van cút trộn máy chính</t>
  </si>
  <si>
    <t>Van cút trộn máy chính: Van MB 180º 5K100: Thay mới van</t>
  </si>
  <si>
    <t>Kính quan sát 5K100: Vệ sinh, bảo dưỡng. Lắp ráp hoàn thiện.</t>
  </si>
  <si>
    <t>Đường ống cút trộn máy chính: Ống Inox Φ76 (3 đoạn x 2,5m): Hàn vị trí rò hở. Bảo dưỡng, thử kín. Lắp ráp hoàn thiện.</t>
  </si>
  <si>
    <t>Bu lông liên kết M12x50: Thay mới: 40 bộ bu lông M12x50 + êcu, đệm bằng, đệm vênh (thép mạ kẽm).</t>
  </si>
  <si>
    <t>Hệ thống van và đường ống nước biển làm mát máy phụ.</t>
  </si>
  <si>
    <t>- Tháo, lắp, vệ sinh, bảo dưỡng van, bầu lọc gồm:</t>
  </si>
  <si>
    <t>Bu lông liên kết van với lọc thông biển: Bu lông M20x125: Thay mới: 4 bộ bu lông M20x125 + êcu, đệm bằng, đệm vênh (thép mạ kẽm).</t>
  </si>
  <si>
    <t>Bu lông liên kết van với lọc thông biển: Bu lông M20x40: Thay mới: 8 bộ bu lông M20x40 + êcu, đệm bằng, đệm vênh (thép mạ kẽm).</t>
  </si>
  <si>
    <t>Nắp van: Gia công thay mới: 01 nắp van KT: 180x150x10 (Nhôm)</t>
  </si>
  <si>
    <t>Bu lông liên kết van với lọc thông biển: Bu lông M20x40: Thay mới: 24 bộ bu lông M20x40 + êcu, đệm bằng, đệm vênh (thép mạ kẽm).</t>
  </si>
  <si>
    <t>Van chặn máy sự cố KMT: Van cánh bướm 5K150A: Vệ sinh, bảo dưỡng. Lắp ráp hoàn thiện.</t>
  </si>
  <si>
    <t>Bu lông liên kết M16x130 (8 bộ x 1 van): Thay mới: 16 bộ bu lông M16x130 + êcu, đệm bằng, đệm vênh (thép mạ kẽm).</t>
  </si>
  <si>
    <t>- Đường ống làm mát máy phụ số 2 khoang máy sau: Thay mới 9,7m ống Inox SUS 304 Φ60x3; 08 bích Inox SUS 304 5K50.</t>
  </si>
  <si>
    <t xml:space="preserve">  + Tháo các đoạn ống sau phục vụ sửa chữa, xong lắp lại hoàn chỉnh.</t>
  </si>
  <si>
    <t>Ống thép mạ kẽm Φ76</t>
  </si>
  <si>
    <t>Ống thép mạ kẽm Φ48</t>
  </si>
  <si>
    <t>Ống thép mạ kẽm Φ21</t>
  </si>
  <si>
    <t>Lọc thông biển máy sự cố KT: Φ340xL400: Vệ sinh, bảo dưỡng, sơn chống gỉ, sơn ghi. Lắp ráp hoàn thiện</t>
  </si>
  <si>
    <t>Bu lông liên kết van thông hơi trên nắp lọc thông biển: Bu lông M10x30 (4bộ x 1 nắp): - Gia công lỗ bu lông trên nắp lọc, khoan, taro lại ren. 
- Thay mới: 4 bộ bu lông M10x30 + êcu, đệm bằng, đệm vênh (thép mạ kẽm).</t>
  </si>
  <si>
    <t>Lưới lọc Inox KT: Φ220xL300: Gia công thay mới: 01 lưới lọc KT Φ220xL300 bằng Inox tấm đục lỗ Φ2xd3</t>
  </si>
  <si>
    <t>Kẽm ăn mòn KT: 90x60x30 : Gia công thay mới: 2 kẽm ăn mòn KT: 90x60x30 (khoan 2 lỗ Φ7, Φc50)</t>
  </si>
  <si>
    <t>Bu lông liên kết kẽm với lưới lọc M6x40 : Thay mới: 4 bộ bu lông M6x40 + êcu, đệm bằng, đệm vênh (Inox SUS 304).</t>
  </si>
  <si>
    <t>Hệ thống van hút khô la canh</t>
  </si>
  <si>
    <t>Van chặn bơm cứu hộ KMT: Van cánh bướm 5K200A: Vệ sinh, bảo dưỡng. Lắp ráp hoàn thiện.</t>
  </si>
  <si>
    <t>Bu lông liên kết M20x120 : Thay mới: 12 bộ bu lông M20x120 + êcu, đệm bằng, đệm vênh (thép mạ kẽm).</t>
  </si>
  <si>
    <t>Lọc thông biển bơm cứu hộ KT: Φ340xL400: Vệ sinh, bảo dưỡng, sơn chống gỉ, sơn ghi. Lắp ráp hoàn thiện</t>
  </si>
  <si>
    <t>Kẽm ăn mòn KT:90x60x30 : Gia công thay mới 01 kẽm ăn mòn KT: 90x60x30 (khoan 2 lỗ Φ7, Φc50)</t>
  </si>
  <si>
    <t xml:space="preserve">Bu lông liên kết kẽm với lưới lọc M6x40 : Thay mới: 2 bộ bu lông M6x40 Inox SUS 304 + êcu, đệm bằng, đệm vênh </t>
  </si>
  <si>
    <t>Vệ sinh bảo dưỡng, thử kín 05 van hút khô 5K65</t>
  </si>
  <si>
    <t>Bu lông liên kết M12x50 (8 bộ x 1 van): Thay mới: 32 bộ bu lông M12x50 + êcu, đệm bằng, đệm vênh (thép mạ kẽm).</t>
  </si>
  <si>
    <t>Lọc hút khô 5K65: Tháo phục vụ sửa chữa, lắp lại hoàn chỉnh</t>
  </si>
  <si>
    <t>Đường ống hút khô: Ống thép mạ kẽm Φ65x1,5mx 4 đoạn: Tháo phục vụ sửa chữa, lắp lại hoàn chỉnh</t>
  </si>
  <si>
    <t>Van thổi bùn máy chính, máy phụ, bơm cứu hộ: Van 16K25: Tiện láng, rà sửa côn van. Vệ sinh, bảo dưỡng, cắt thay đệm. Thử kín bằng nước áp lực 5kG/cm2. Thay 03m tết chỉ luộc mỡ Φ6.</t>
  </si>
  <si>
    <t>Bu lông liên kết M12x80 (8 bộ x 1 van): Thay mới: 48 bộ bu lông M12x80 + êcu, đệm bằng, đệm vênh (thép mạ kẽm).</t>
  </si>
  <si>
    <t>Van thông hơi thông biển: Van Dy15 (trên nắp lọc thông biển): Tiện láng, rà sửa côn van. Vệ sinh, bảo dưỡng, cắt thay đệm. Thay 03m tết chỉ luộc mỡ Φ4.</t>
  </si>
  <si>
    <t>Bu lông liên kết van với đường ống M10x30 (4 bộ x 1 van): Thay mới: 24 bộ bu lông M10x30 + êcu, đệm bằng, đệm vênh (thép mạ kẽm).</t>
  </si>
  <si>
    <t>Ống nối thông hơi Φ21: Gia công thay mới: 02 đầu ống nối tiện rắc co Φ21x60 (thép).</t>
  </si>
  <si>
    <t>Van làm mát trục: Van 5K25: Tiện láng, rà sửa côn van. Vệ sinh, bảo dưỡng, cắt thay đệm. Thay 1m tết chỉ luộc mỡ Φ4.</t>
  </si>
  <si>
    <t>Bu lông liên kết van với đường ống M10x40 (8 bộ x 1 van): Thay mới: 24 bộ bu lông M10x40 + êcu, đệm bằng, đệm vênh (thép mạ kẽm).</t>
  </si>
  <si>
    <t>Kính quan sát Dy25: Ghi nhận tình trạng thiếu nắp đậy trong kính. Vệ sinh, bảo dưỡng. Lắp ráp hoàn thiện.</t>
  </si>
  <si>
    <t>Kính Φ50xd10: Thay mới: 04 meca Φ50xd10. Vệ sinh, bảo dưỡng, dùng lại 04 cái.</t>
  </si>
  <si>
    <t>Bu lông liên kết nắp kính M10x35 (8 bộ x 1 kính): Thay mới: 24 bộ bu lông M10x35 + êcu, đệm bằng, đệm vênh (thép mạ kẽm).</t>
  </si>
  <si>
    <t>Bu lông liên kết kính với đường ống M10x40 (8 bộ x 1 kính): Thay mới: 24 bộ bu lông M10x40 + êcu, đệm bằng, đệm vênh (thép mạ kẽm).</t>
  </si>
  <si>
    <t>Đường ống làm mát trục: Ống thép mạ kẽm Φ21 (7 đoạn: 1,7 + 1,5 + 1,5 + 1,4 + 1,2 + 0,5 + 0,5). Mỗi đoạn x 2 mặt bích: Vệ sinh, sơn sửa đường ống, thay mới: 24 bộ bu lông M12x40 + êcu, đệm bằng, đệm vênh (thép mạ kẽm)</t>
  </si>
  <si>
    <t>Đường ống làm mát trục: Ống thép mạ kẽm Φ34 (5 đoạn: 1,2 + 1,5 + 0,5 + 0,5 + 0,2). Mỗi đoạn x 2 mặt bích: Vệ sinh, sơn sửa đường ống, thay mới: 20 bộ bu lông M10x40 + êcu, đệm bằng, đệm vênh (thép mạ kẽm).</t>
  </si>
  <si>
    <t>Van cấp cứu máy chính phải: Van Dy65: Tiện láng côn van, rà sửa, bảo dưỡng. Thay mới: 0,5m tết chỉ luộc mỡ Φ6, 8 bộ bu lông M12x50 + êcu, đệm bằng, đệm vênh (thép mạ kẽm). Lắp ráp hoàn thiện, thử hoạt động cùng hệ thống.</t>
  </si>
  <si>
    <t>Đường ống bơm nước biển làm mát điều hòa</t>
  </si>
  <si>
    <t>Ống thép mạ kẽm Φ48 + 03 mặt bích 5K40: Vệ sinh, sơn sửa đường ống.</t>
  </si>
  <si>
    <t>Bơm bình tích áp nước biển, nước ngọt số 1, số 2 khoang máy sau: Q = 2,5m3/h; P = 0,37 kW: Tháo mang lên xưởng, tháo rã, vệ sinh, thay các chi tiết hỏng. Lắp ráp, căn chỉnh hoàn thiện</t>
  </si>
  <si>
    <t>Bơm nước biển làm mát điều hòa</t>
  </si>
  <si>
    <t>Đường ống cấp nước vào bơm</t>
  </si>
  <si>
    <t>Ống thép mạ kẽm Φ60 + 01 cút: Thay mới: 0,3m ống thép mạ kẽm Φ60x3,9; 01 cút thép mạ kẽm 90º Φ60x3,9. Hàn, cắt sử dụng 02 bích cũ 5K50</t>
  </si>
  <si>
    <t>Bu lông liên kết M14x60: Thay mới: 4 bộ bu lông M14x60 + êcu, đệm bằng, đệm vênh (thép mạ kẽm)</t>
  </si>
  <si>
    <t>Bu lông liên kết M12x50: Thay mới: 4 bộ bu lông M12x50 + êcu, đệm bằng, đệm vênh (thép mạ kẽm)</t>
  </si>
  <si>
    <t>Đường ống đẩy từ bơm</t>
  </si>
  <si>
    <t>Ống thép mạ kẽm Φ48 + 02 cút: Thay mới: 0,6m ống thép mạ kẽm Φ48x3,7; 02 cút thép mạ kẽm 90º Φ48x3,7. Hàn cắt sử dụng 02 bích cũ 5K40.</t>
  </si>
  <si>
    <t xml:space="preserve">Bơm nước ngọt làm mát dự phòng điều hòa: </t>
  </si>
  <si>
    <t>Ống thép mạ kẽm Φ60 + 01 côm thép Φ60-Φ48: Thay mới: 0,8m ống thép mạ kẽm Φ60x3,9; 01 côm thép Φ60-Φ48x3,7. Hàn cắt sử dụng 02 bích cũ 5K50.</t>
  </si>
  <si>
    <t>Ống thép mạ kẽm Φ48: Thay mới: 0,5m ống thép mạ kẽm Φ48x3,7. Hàn cắt sử dụng 01 bích cũ 5K40.</t>
  </si>
  <si>
    <t>Bu lông liên kết M12x50: Thay mới: 12 bộ bu lông M12x50 + êcu, đệm bằng, đệm vênh (thép mạ kẽm)</t>
  </si>
  <si>
    <t xml:space="preserve">Máy phụ số 2 khoang máy sau: </t>
  </si>
  <si>
    <t xml:space="preserve">Đường nước biển cấp nước làm mát: </t>
  </si>
  <si>
    <t>Ống thép mạ kẽm Φ60 + 01 cút: Thay mới: 2,3m ống thép mạ kẽm Φ60x3,9; 01 cút thép mạ kẽm 90º Φ60x3,9. Hàn, cắt sử dụng 02 bích cũ 5K50</t>
  </si>
  <si>
    <t>Bu lông liên kết M12x50: Thay mới: 08 bộ bu lông M12x50 + êcu, đệm bằng, đệm vênh (thép mạ kẽm)</t>
  </si>
  <si>
    <t>Ống thép mạ kẽm Φ60 + uốn 02 cua: Thay mới: 2,7m ống thép mạ kẽm Φ60x3,9 + uốn 2 cua. Hàn, cắt sử dụng 02 bích cũ 5K50</t>
  </si>
  <si>
    <t>Bu lông liên kết M12x100: Thay mới: 04 bộ bu lông M12x100 + êcu, đệm bằng, đệm vênh (thép mạ kẽm)</t>
  </si>
  <si>
    <t>Bơm Hyđropho số 1</t>
  </si>
  <si>
    <t>Đường ống nước biển ra từ bơm</t>
  </si>
  <si>
    <t>Ống Inox Φ34 + 01 cút: Thay mới: 1,3m ống Inox SUS 304 Φ34; 01 cút Inox 90º Φ34. Hàn cắt sử dụng 03 bích Inox 5K25</t>
  </si>
  <si>
    <t>Bu lông liên kết M12x40: Thay mới: 14 bộ bu lông M12x40 + êcu, đệm bằng, đệm vênh (Inox SUS 304)</t>
  </si>
  <si>
    <t>Bơm chữa cháy dằn số 1, số 2</t>
  </si>
  <si>
    <t>Van xả mạn: Van một chiều vuông góc 10K65: Tháo khảo sát chi tiết</t>
  </si>
  <si>
    <t>Bơm hút khô số 1, số 2</t>
  </si>
  <si>
    <t>Sinh hàn làm mát điều hòa</t>
  </si>
  <si>
    <t>Van xả mạn: Van một chiều vuông góc 10K50: Tháo khảo sát chi tiết</t>
  </si>
  <si>
    <t>Kính quan sát Dy50: Tháo khảo sát chi tiết</t>
  </si>
  <si>
    <t>Tháo bu lông nối trục, đo độ gẫy, độ lệch trục, lập bảng số liệu, lắp ráp lại hoàn chỉnh.</t>
  </si>
  <si>
    <t>Trục chân vịt: Vệ sinh, đánh bóng phần ngâm nước tại tàu</t>
  </si>
  <si>
    <t xml:space="preserve">trục </t>
  </si>
  <si>
    <t>Tháo chắn rác, vệ sinh vị trsi chắn rác, đo kiểm khe hở bạc trục chân vịt</t>
  </si>
  <si>
    <t>Chân vịt: Gia nhiệt nắn sửa, hàn khôi phục biên dạng mép cánh tại tàu (Chân vịt trái: Cong mẻ 4/4 cánh; Mẻ: L550x10; L65x20; L600x10; L300x10;Cong : L250; L100.
Chân vịt giữa: Cong mẻ 4/4 cánh; Mẻ: L80; L100; Cong : L300; L200; L200.
Chân vịt phải: Cong mẻ 4/4 cánh; Mẻ: L500x35; L400x10; L400x10; L300x10; Cong : L500; L250; L150; L200). Vệ sinh, đánh bóng cánh chân vịt.</t>
  </si>
  <si>
    <t>Bu lông tuốc tô hệ trục chân vịt: Sửa nguội ren bu lông kẹt, nặng, đánh bóng, doa sửa nguội lỗ lắp bu lông (16 bộ). Thay mới chốt chẻ Φ4x50 (SUS304) = 48 cái. Lắp ráp lại hoàn chỉnh.</t>
  </si>
  <si>
    <t>PHẦN TRANG THIẾT BỊ ĐIỆN</t>
  </si>
  <si>
    <t>Tháo bơm phục vụ sửa chữa động cơ, sửa chữa, lắp lại</t>
  </si>
  <si>
    <t>Bơm nước ngọt làm mát dự phòng ITALY EBRA: Q = 15m3/h; H=37 m.l.c; P= 2,2kW; n = 2840 r.p.m (trục ngang): Tháo bơm phục vụ sửa chữa động cơ, thay mới 02 bộ kín nước Φt22; 02 gioăng cao su làm kín buồng bơm Φn190xΦs5; 08 bộ bu lông liên kết chân bơm M12x50; 08 bộ bu lông liên kết mặt bích bơm M14x50; 08 bộ bu lông liên kết mặt bích bơm M14x100 xong lắp lại hoàn thiện. Căn chỉnh, thử hoạt động.</t>
  </si>
  <si>
    <t>Bơm nước ngọt làm mát điều hòa: Q = 22,6 m3/h; H = 25 m.l.c; P = 2,7 kW; n = 2900r.p.m (kiểu bơm ly tâm trục ngang liền động cơ): Tháo bơm phục vụ sửa chữa động cơ, thay mới 02 bộ kín nước Φt29; 02 gioăng cao su làm kín buồng bơm Φn170xΦs5; 08 bộ bu lông liên kết chân bơm M16x50; 16 bộ bu lông liên kết mặt bích bơm M14x60 xong lắp lại hoàn thiện. Căn chỉnh, thử hoạt động.</t>
  </si>
  <si>
    <t>Bơm dầu nhờn máy chính: Tháo bơm phục vụ sửa chữa động cơ, xong lắp lại hoàn thiện. Căn chỉnh, thử hoạt động.</t>
  </si>
  <si>
    <t>Bơm chữa cháy dằn số 1, số 2. P = 11kW; Q = 30m3/h; H = 40,20 m.l.c; n = 2920 r.p.m (trục đứng): Tháo bơm phục vụ sửa chữa động cơ, thay mới 02 bộ kín nước Φt29; 02 gioăng cao su làm kín buồng bơm Φn170xΦs5; 08 bộ bu lông liên kết chân bơm M16x50; 16 bộ bu lông liên kết mặt bích bơm M16x60 xong lắp lại hoàn thiện. Căn chỉnh, thử hoạt động.</t>
  </si>
  <si>
    <t>Bơm vận chuyển dầu đốt số 1, số 2: P = 2kW. Sản xuất năm 2019. H = 15m; Q = 4,7 m3/h (trục đứng): Tháo bơm phục vụ sửa chữa động cơ, xong lắp lại hoàn thiện. Căn chỉnh, thử hoạt động.</t>
  </si>
  <si>
    <t>Bơm hút khô số 1, số 2. P = 5kW; Q = 22m3/h; H = 15,10 m.l.c; n = 2880 r.p.m (trục ngang): Tháo bơm phục vụ sửa chữa động cơ, thay mới 02 bộ kín nước Φt29; 02 gioăng cao su làm kín buồng bơm Φn190xΦs5; 08 bộ bu lông liên kết chân bơm M14x50; 16 bộ bu lông liên kết mặt bích bơm M14x60 xong lắp lại hoàn thiện. Căn chỉnh, thử hoạt động.</t>
  </si>
  <si>
    <t>PHẦN SƠN</t>
  </si>
  <si>
    <t>Phần từ mớn nước có tải trở xuống.</t>
  </si>
  <si>
    <t>Sơn Intershield 300</t>
  </si>
  <si>
    <t>ENA301/A</t>
  </si>
  <si>
    <t>International</t>
  </si>
  <si>
    <t>Sơn Intergard 263</t>
  </si>
  <si>
    <t>FAJ034</t>
  </si>
  <si>
    <t>Sơn Intercept 7000</t>
  </si>
  <si>
    <t>BEA827</t>
  </si>
  <si>
    <t>GTA007</t>
  </si>
  <si>
    <t>Sơn Interthane 990</t>
  </si>
  <si>
    <t>PHE971/A</t>
  </si>
  <si>
    <t>GTA733</t>
  </si>
  <si>
    <t>Đường nước, thước nước, chữ số, ký hiệu bên mạn tàu.</t>
  </si>
  <si>
    <t>PHB000/A</t>
  </si>
  <si>
    <t>PHB134/A</t>
  </si>
  <si>
    <t>PHD259/A</t>
  </si>
  <si>
    <t>Sơn bảo dưỡng xích neo d17,5x165mx2 đường và neo 240 kgx2 cái</t>
  </si>
  <si>
    <t>Sơn intrertuf 203</t>
  </si>
  <si>
    <t>JVA207</t>
  </si>
  <si>
    <t xml:space="preserve">Kẽm chống ăn mòn bánh lái Kt: </t>
  </si>
  <si>
    <t>Φ125xd21</t>
  </si>
  <si>
    <t>Kẽm chống ăn mòn trục chân vịt 2 bên</t>
  </si>
  <si>
    <t>Φn184xΦt140</t>
  </si>
  <si>
    <t>Kẽm chống ăn mòn trục chân vịt giữa</t>
  </si>
  <si>
    <t>Φn209xΦt165</t>
  </si>
  <si>
    <t>Kẽm chống ăn mòn hộp van thông biển</t>
  </si>
  <si>
    <t>60x80x30</t>
  </si>
  <si>
    <t>Gudông êcu, đệm bằng inox</t>
  </si>
  <si>
    <t>M10x30</t>
  </si>
  <si>
    <t>Lan can, ống thông hơi từ sườn 1-2 bên mạn trái boong chính, Sườn 6-8 bên trái. Sươn 4-6 bên mạn phải boong .</t>
  </si>
  <si>
    <t>Ống nhôm</t>
  </si>
  <si>
    <t>F38,1x3</t>
  </si>
  <si>
    <t>F31,75x3</t>
  </si>
  <si>
    <t>Nhôm tấm d6</t>
  </si>
  <si>
    <t>d6</t>
  </si>
  <si>
    <t>Bu lông + ê cu + đệm bằng i nốc</t>
  </si>
  <si>
    <t>M10x40</t>
  </si>
  <si>
    <t>ALMG5/5356F2.4</t>
  </si>
  <si>
    <t>Italia</t>
  </si>
  <si>
    <t>Cầu thang lên xuống phía lái</t>
  </si>
  <si>
    <t>Sửa chữa con trạch cao su:</t>
  </si>
  <si>
    <t>Dây hàn thép</t>
  </si>
  <si>
    <t>F1.2</t>
  </si>
  <si>
    <t>Bu lông + ê cu + đệm bằng i nốc thân ren dài 40mm</t>
  </si>
  <si>
    <t>M16x190</t>
  </si>
  <si>
    <t>Máy phát số 2 KOHLER; 3pha/380V- 125KW/50HzModel 125 EOD; 1500v/p</t>
  </si>
  <si>
    <t>Đầu vòi phun</t>
  </si>
  <si>
    <t>Đệm kín vỏ sinh hàn gió</t>
  </si>
  <si>
    <t>Dung dịch nước làm mát</t>
  </si>
  <si>
    <t>Dây đồng emay Φ2,5 cả men</t>
  </si>
  <si>
    <t>Dây đồng emay Φ1,3 cả men</t>
  </si>
  <si>
    <t>Vòng bi 6212ZZ</t>
  </si>
  <si>
    <t>Máy phát số 3 KOHLER; 3pha/380V- 55KW/50Hz; 1500v/p</t>
  </si>
  <si>
    <t xml:space="preserve">Vật tư dự phòng cho bảo dưỡng định kỳ 03 máy phát  </t>
  </si>
  <si>
    <t>Bộ lọc thô, tinh</t>
  </si>
  <si>
    <t>GM50263</t>
  </si>
  <si>
    <t>Bầu lọc dầu đốt (thứ cấp)</t>
  </si>
  <si>
    <t>GM48730</t>
  </si>
  <si>
    <t>Bầu lọc dầu đốt (sơ cấp)</t>
  </si>
  <si>
    <t>GM48729</t>
  </si>
  <si>
    <t>Máy chính 12VP 185TCM; 18VP 185TCM</t>
  </si>
  <si>
    <t>Cảm biến nhiệt độ khí xả của máy chính 12VP 185TCM; 18VP 185TCM</t>
  </si>
  <si>
    <t>Ống inox</t>
  </si>
  <si>
    <t>Ф60x4-5</t>
  </si>
  <si>
    <t>Bích inox 5K50</t>
  </si>
  <si>
    <t xml:space="preserve">Bu lông êcu, đệm bằng, đệm vênh (thép mạ kẽm) </t>
  </si>
  <si>
    <t>M20x145</t>
  </si>
  <si>
    <t xml:space="preserve"> M20x45</t>
  </si>
  <si>
    <t xml:space="preserve"> M20x125</t>
  </si>
  <si>
    <t xml:space="preserve"> M20x40</t>
  </si>
  <si>
    <t xml:space="preserve"> M16x130</t>
  </si>
  <si>
    <t xml:space="preserve"> M20x120</t>
  </si>
  <si>
    <t xml:space="preserve"> M10x30</t>
  </si>
  <si>
    <t xml:space="preserve"> M10x35</t>
  </si>
  <si>
    <t xml:space="preserve"> M10x40</t>
  </si>
  <si>
    <t xml:space="preserve"> M12x40</t>
  </si>
  <si>
    <t xml:space="preserve"> M12x80</t>
  </si>
  <si>
    <t xml:space="preserve"> M16x60</t>
  </si>
  <si>
    <t>M6x40</t>
  </si>
  <si>
    <t>Nắp chỉ báo</t>
  </si>
  <si>
    <t>Φn100xΦc55x 2 lỗ Φ5xd2 (Inox SUS 304)</t>
  </si>
  <si>
    <t>Nắp van</t>
  </si>
  <si>
    <t>200x180x10 (Nhôm)</t>
  </si>
  <si>
    <t>5K300 x L75</t>
  </si>
  <si>
    <t xml:space="preserve"> 5K200 x L60 </t>
  </si>
  <si>
    <t>Kẽm ăn mòn lọc thông biển máy chính, máy phụ, bơm cứu hộ</t>
  </si>
  <si>
    <t>90x60x30 (khoan 2 lỗ Φ7, Φc50)</t>
  </si>
  <si>
    <t xml:space="preserve">Tết chỉ luộc mỡ </t>
  </si>
  <si>
    <t xml:space="preserve"> Φ4</t>
  </si>
  <si>
    <t xml:space="preserve"> Φ6</t>
  </si>
  <si>
    <t xml:space="preserve">Lưới lọc </t>
  </si>
  <si>
    <t>Φ220xL300 i nốc SUS 304</t>
  </si>
  <si>
    <t>Tấm mê ca</t>
  </si>
  <si>
    <t>Φ50xd10</t>
  </si>
  <si>
    <t>Đầu ống nối thông hơi</t>
  </si>
  <si>
    <t>Φ21x60 (thép)</t>
  </si>
  <si>
    <t>Chốt chẻ i nốc</t>
  </si>
  <si>
    <t xml:space="preserve"> Φ3</t>
  </si>
  <si>
    <t xml:space="preserve">Van MB 180 độ </t>
  </si>
  <si>
    <t>10K100</t>
  </si>
  <si>
    <t>5K100</t>
  </si>
  <si>
    <t>Ф60x4</t>
  </si>
  <si>
    <t>Ф48x3,7</t>
  </si>
  <si>
    <t>Cút thép mạ kẽm 90º</t>
  </si>
  <si>
    <t>Φ60x3,9</t>
  </si>
  <si>
    <t xml:space="preserve">Côn thép </t>
  </si>
  <si>
    <t>Φ60-Φ48x3,7</t>
  </si>
  <si>
    <t>Φ48x3,7</t>
  </si>
  <si>
    <t>Ф34x4-5</t>
  </si>
  <si>
    <t>Cút inox</t>
  </si>
  <si>
    <t xml:space="preserve"> M12x50</t>
  </si>
  <si>
    <t xml:space="preserve"> M14x60</t>
  </si>
  <si>
    <t xml:space="preserve">Bu lông êcu, đệm bằng, đệm vênh (SUS304) </t>
  </si>
  <si>
    <t xml:space="preserve"> M12x100</t>
  </si>
  <si>
    <t xml:space="preserve">Chốt chẻ Inox </t>
  </si>
  <si>
    <t>Փ4x50</t>
  </si>
  <si>
    <t>Hệ thống quạt thông gió:</t>
  </si>
  <si>
    <t>Quạt thông gió đẩy buồng máy 7,3KW</t>
  </si>
  <si>
    <t>Quạt thông gió hút buồng máy 380V/1,46KW/3.28</t>
  </si>
  <si>
    <t>M6x50</t>
  </si>
  <si>
    <t>Quạt thông gió hút buồng máy trước và sau 380V/2,1KW/19.4A</t>
  </si>
  <si>
    <t>Bảo dưỡng Motor:</t>
  </si>
  <si>
    <t>Motor tời neo động cơ 7,5 kW</t>
  </si>
  <si>
    <t xml:space="preserve">Vòng bi </t>
  </si>
  <si>
    <t>6207Z</t>
  </si>
  <si>
    <t>vòng</t>
  </si>
  <si>
    <t>6308Z</t>
  </si>
  <si>
    <t>Motor máy lái 3,75 kW.</t>
  </si>
  <si>
    <t>6205Z</t>
  </si>
  <si>
    <t>6206Z</t>
  </si>
  <si>
    <t>Motor cẩu xuồng công suất 22 kW</t>
  </si>
  <si>
    <t>Động cơ bơm nước biển làm mát ĐH dự phòng: 220V-2,2kW, n = 3000V/p</t>
  </si>
  <si>
    <t>Bảo dưỡng, sửa chữa Bơm:</t>
  </si>
  <si>
    <t>Bơm nước ngọt, nước biển làm mát dự phòng điều hòa 2,2KW</t>
  </si>
  <si>
    <t>Bộ kín nước</t>
  </si>
  <si>
    <t xml:space="preserve"> Φ22</t>
  </si>
  <si>
    <t xml:space="preserve">Gioăng cao su chịu dầu, chịu nhiệt </t>
  </si>
  <si>
    <t>Φn190xΦs5</t>
  </si>
  <si>
    <t xml:space="preserve"> M14x50</t>
  </si>
  <si>
    <t xml:space="preserve"> M14x100</t>
  </si>
  <si>
    <t>Bơm nước ngọt, nước biển làm mát điều hòa 2,7KW</t>
  </si>
  <si>
    <t xml:space="preserve"> Φ29</t>
  </si>
  <si>
    <t>Φn170xΦs5</t>
  </si>
  <si>
    <t xml:space="preserve"> M16x50</t>
  </si>
  <si>
    <t>Bơm chữa cháy, dằn 1,2 -11 KW</t>
  </si>
  <si>
    <t>Bơm hút khô 1,2 -5 KW</t>
  </si>
  <si>
    <t xml:space="preserve">TỔNG CỘNG </t>
  </si>
  <si>
    <r>
      <t xml:space="preserve"> + Két dầu liền vỏ giữa #1</t>
    </r>
    <r>
      <rPr>
        <vertAlign val="superscript"/>
        <sz val="12"/>
        <rFont val="Times New Roman"/>
        <family val="1"/>
      </rPr>
      <t>+500</t>
    </r>
    <r>
      <rPr>
        <sz val="12"/>
        <rFont val="Times New Roman"/>
        <family val="1"/>
      </rPr>
      <t xml:space="preserve"> - #3 dung tích V= 3,3m3x 2 két</t>
    </r>
  </si>
  <si>
    <r>
      <t>Củ phát điện 125kW Rcđ = 1M</t>
    </r>
    <r>
      <rPr>
        <sz val="12"/>
        <rFont val="Symbol"/>
        <family val="1"/>
        <charset val="2"/>
      </rPr>
      <t>W</t>
    </r>
    <r>
      <rPr>
        <sz val="12"/>
        <rFont val="Times New Roman"/>
        <family val="1"/>
      </rPr>
      <t xml:space="preserve"> (tiêu chuẩn kỹ thuật Rcđ≥2MW) động cơ đã được tẩm sấy không nâng được điện trở cách điện: Thực hiện quấn mới lại Roto+ Stato máy phát động cơ</t>
    </r>
  </si>
  <si>
    <t>BẢO DƯỠNG TÀU HQ11-91-63</t>
  </si>
  <si>
    <t>PHỤ LỤC 6</t>
  </si>
  <si>
    <t>BẢO DƯỠNG TÀU HQ11-91-87</t>
  </si>
  <si>
    <t>PHỤ LỤC 9</t>
  </si>
  <si>
    <t>BẢO DƯỠNG TÀU HQ11-91-61</t>
  </si>
  <si>
    <t>PHỤ LỤC 7</t>
  </si>
  <si>
    <t>Làm sạch 100% bề mặt bằng phun cát - do thay đổi phương án làm sạch nên thay đổi giá nhân công, bổ sung vật tư phần dưới mớn nước)</t>
  </si>
  <si>
    <t>- Phát sinh thêm 01 lớp sơn theo QT của hãng -( HĐ chỉ có 03 lớp)</t>
  </si>
  <si>
    <t xml:space="preserve"> - Sơn 01 lớp sơn theo qui trình hãng sơn </t>
  </si>
  <si>
    <t>Phần thân vỏ trên vạch mớn nước đến mép boong chính, boong dâng mũi, lái</t>
  </si>
  <si>
    <t>Sơn 100% diện tích (lần 1 đã tinh 30% = 89,1m2) còn lại 208,2</t>
  </si>
  <si>
    <t>Đo siêu âm chiều dày nhôm vỏ tàu theo yêu cầu của Đăng kiểm Hải Quân</t>
  </si>
  <si>
    <t>điểm</t>
  </si>
  <si>
    <t>Lập hồ sơ, bản vẽ sơ đồ đo tôn ( 03 bộ)</t>
  </si>
  <si>
    <t>Mài tẩy, làm sạch đường cũ, hàn, thử kin đảm bảo yêu cầu.</t>
  </si>
  <si>
    <t>Nhôm vỏ tàu phần dưới mớn nước</t>
  </si>
  <si>
    <t>Vệ sinh, xảm keo epoxy + bột đá các vị trí bị xâm thực bề mặt nhôm vỏ tàu - 50m</t>
  </si>
  <si>
    <t>TRANG BỊ HÀNG HẢI</t>
  </si>
  <si>
    <t>Ra đa hàng hải Rada Halo6, màn hình Simrad-GS25:</t>
  </si>
  <si>
    <t>-Lắp thêm bộ kết nối tích hợp AIS. Thực hiện bảo dưỡng định kỳ theo quy trình của hãng sản xuất, thay mới chi tiết hỏng (vật tư thay mới tính riêng)</t>
  </si>
  <si>
    <t xml:space="preserve">Chạy dây cáp tín hiệu 2x1 từ bộ AIS đến bộ kết nối tích hợp , làm các đầu cáp tín hiệu </t>
  </si>
  <si>
    <t xml:space="preserve">Chạy dây cáp tín hiệu 2x1 từ bộ AIS đến màn hình ra đa, làm các đầu cáp tín hiệu </t>
  </si>
  <si>
    <t xml:space="preserve">Cài đặt, hiệu chỉnh các tham số kỹ thuật, cài đồng bộ với các thiết bị khác </t>
  </si>
  <si>
    <t>Thay mới mô đun điều chế tín hiệu máy phát</t>
  </si>
  <si>
    <t>- Tháo mô đun cũ bị hỏng, thay thế mô đun mới, lắp đặt hoàn thiện.</t>
  </si>
  <si>
    <t>- Cấp điện kiểm tra hoạt động, hiệu chỉnh các tham số hệ thống thu phát.</t>
  </si>
  <si>
    <t>Vật tư</t>
  </si>
  <si>
    <t>Máy phát điện KOLHER số 1, 2; CS - 70kW - tính 75% định mức KTKT Hải Quan</t>
  </si>
  <si>
    <t>Tháo cầu máy lên nhà xưởng tháo rã chi tiết động cơ và cẩu xuống sau sửa chữa xuống</t>
  </si>
  <si>
    <t>1.2</t>
  </si>
  <si>
    <t>Tháo các chướng ngại vật trên boong, nắp hầm máy trên boong, cẩu máy lên xuống (tháo cẩu 2 lần - Lần 1 tháo cẩu máy sau đó lắp lại để tránh mưa bão, lần 2 tháo cẩu nắp hầm để cầu máy sau sửa chữa xuống)</t>
  </si>
  <si>
    <t>Tháo tấm cách nhiệt, khung sạp, lan can bảo vệ máy, công tắc cắt mát, chân máy diezel, cụm lọc dầu, lọc gió đảm bảo tháo sửa chữa máy phát. Dán lại các tấm cách nhiệt.</t>
  </si>
  <si>
    <t>Máy chính MTU 16V2000M94  Công suất 2600HP (1939kW).Vòng quay 2450 vòng/phút</t>
  </si>
  <si>
    <t>Bơm nước biển Máy phát số 1</t>
  </si>
  <si>
    <t>Cụm bơm nước biển máy phát số 2</t>
  </si>
  <si>
    <t>cụm</t>
  </si>
  <si>
    <t>Gudong ecu M14x40x4 bộ. (inox)</t>
  </si>
  <si>
    <t>Bulong êcu M14x50x4 bộ. (inox)</t>
  </si>
  <si>
    <t>Bulong êcu M16x60x4 bộ. (inox)</t>
  </si>
  <si>
    <t>Hệ thống nước biển máy chính, máy phát</t>
  </si>
  <si>
    <t>Vệ sinh, gõ rỉ, bảo dưỡng, sơn lưới chắn rác (02 hộ máy chính,02 hộp máy phát điện, 01 hộp bơm cứu hỏa)</t>
  </si>
  <si>
    <t>Hộp van thông biển bích liên kết hộp van với giỏ lọc rác mục hỏng D350x04 cái (bích nhôm). Xảm keo 2 thành phần vị trí bích rỗ, mục 04 cái. Mài vị trí xảm keo đảm bảo độ phẳng mặt bích (làm tại tàu).</t>
  </si>
  <si>
    <t>- Máy chính bảo dưỡng</t>
  </si>
  <si>
    <t>Tháo lắp 10 m2 khung sạp</t>
  </si>
  <si>
    <t>Tháo 04 van chặn D200 phục vụ tháo lọc, van thông biển. Lắp ráp lại sau khi làm xong - tính 50 % theo ĐMKTKT  Hải quan</t>
  </si>
  <si>
    <t>Hệ thống đường ống</t>
  </si>
  <si>
    <t>Ống D150, D48, D60</t>
  </si>
  <si>
    <t>Hàn vị trí thủng, nứt, thử áp lực sau khi lắp ráp ( hàn 12 vị trí, thử kín)</t>
  </si>
  <si>
    <t>HỆ TRỤC CHÂN VỊT - HỆ LÁI</t>
  </si>
  <si>
    <t>- Tháo bulong khớp nối đầu trục chân vịt với hộp số (tháo tách Tuốc tô). Đo, lập bảng thông số độ lệch tâm gãy khúc hệ trục trước khi tàu lên đà và sau khi tàu xuống đà</t>
  </si>
  <si>
    <t xml:space="preserve">-Tháo lưới chắn rác của cổ trục, vệ sinh, kiểm tra, thay thế mới, lắp ráp lại hoàn chỉnh </t>
  </si>
  <si>
    <t>Càng tôm</t>
  </si>
  <si>
    <t>Vệ sinh bề mặt, xảm keo epoxy + bột đá vị trí rỗ. mài phẳng bề mặt.</t>
  </si>
  <si>
    <t xml:space="preserve">Cạo hà. Vệ sinh, đánh bóng chân vịt. Trục chân vịt - tính 50% định mức bảng giá </t>
  </si>
  <si>
    <t>Hệ lái (trục có D140)</t>
  </si>
  <si>
    <t xml:space="preserve">Tháo mở xec tơ lái, ổ đỡ trên, dưới, tháo bánh lái với trục lái, rút trục lái, hạn toàn bộ xuống mặt sàn </t>
  </si>
  <si>
    <t>công</t>
  </si>
  <si>
    <t>Vệ sinh, kiểm tra trục lái và ổ đỡ, thay tết chỉ mỡ 20x20: 4m lắp ráp lại trục lái, bánh lái hoàn chỉnh (D140)</t>
  </si>
  <si>
    <t>Bánh lái</t>
  </si>
  <si>
    <t>vị trí</t>
  </si>
  <si>
    <t xml:space="preserve">Kiểm tra bảo dưỡng hệ thống đèn hành trình, thay 02 bóng đèn </t>
  </si>
  <si>
    <t>ENA300/A</t>
  </si>
  <si>
    <t>Sơn Intershield 300 đồng ( bổ sung sơn do sơn hết 100% diện tích trên mạn ) - HĐ đã có 90 lít thiếu 34 lít theo QT</t>
  </si>
  <si>
    <t>Que hàn nhôm D1,2</t>
  </si>
  <si>
    <t>Safra/Italia</t>
  </si>
  <si>
    <t>Acgon (Khí ắc gông )</t>
  </si>
  <si>
    <t xml:space="preserve">Đá mài </t>
  </si>
  <si>
    <t>Keo Epoxy 611 ( loại 0,6kg/h)</t>
  </si>
  <si>
    <t>Epoxy 611</t>
  </si>
  <si>
    <t>Bột đá</t>
  </si>
  <si>
    <t>Đá giáp xếp</t>
  </si>
  <si>
    <t>A60 - 100x16</t>
  </si>
  <si>
    <t>Trung quốc</t>
  </si>
  <si>
    <t>TRANG THIẾT BỊ HÀNG HẢI</t>
  </si>
  <si>
    <t>Vật tư bổ sung (trong HĐ ban đầu chưa có)</t>
  </si>
  <si>
    <t>- Cáp tín hiệu 2x1</t>
  </si>
  <si>
    <t>- Đầu cáp tín hiệu chuyên dụng</t>
  </si>
  <si>
    <t>- Mô đun điều chế tín hiệu máy phát Halo 6 (thiết bị đã qua sử dụng, cam kết bảo hành 12 tháng, không có C0, CQ)</t>
  </si>
  <si>
    <t xml:space="preserve">Máy Halo 6 </t>
  </si>
  <si>
    <t>Hãng Sỉmad</t>
  </si>
  <si>
    <t>TRANG BỊ NGÀNH ĐIỆN</t>
  </si>
  <si>
    <t>Hóa chất AT3200CD</t>
  </si>
  <si>
    <t>Véc ni cách điện</t>
  </si>
  <si>
    <t>Keo silicon</t>
  </si>
  <si>
    <t>Xà phòng bột</t>
  </si>
  <si>
    <t>Bulong ecu inoc 304 + đệm M8x30</t>
  </si>
  <si>
    <t>M8x30</t>
  </si>
  <si>
    <t>Bulong ecu thép + đệm M10x40</t>
  </si>
  <si>
    <t>Bulong ecu thép + đệm M6x10</t>
  </si>
  <si>
    <t>M6x10</t>
  </si>
  <si>
    <t>Quạt tản nhiệt 120x120; 220V</t>
  </si>
  <si>
    <t>120x120; 220V</t>
  </si>
  <si>
    <t>THIẾT BỊ ĐỘNG LỰC</t>
  </si>
  <si>
    <t xml:space="preserve">Sinh hàn </t>
  </si>
  <si>
    <t>Vòng su D50x4</t>
  </si>
  <si>
    <t>D50x4</t>
  </si>
  <si>
    <t>Vòng su kín nước D80x5</t>
  </si>
  <si>
    <t xml:space="preserve"> D80x5</t>
  </si>
  <si>
    <t>Động cơ Dieze lai mát phát điện: John Deere 4045AFM85; 120hp x 1500 v/p máy số 1</t>
  </si>
  <si>
    <t>Hãng Kohler</t>
  </si>
  <si>
    <t>Giá bao gồm (cánh bơm, phớt kin nước kính dầu, vòng bi)</t>
  </si>
  <si>
    <t>Động cơ Dieze lai mát phát điện: John Deere 4045AFM85; 120hp x 1500 v/p - máy số 2</t>
  </si>
  <si>
    <t xml:space="preserve">Bơm Nước ngọt số 1 'Thay các chi tiết hỏng theo BB </t>
  </si>
  <si>
    <t>Bộ phớt mặt chà 2 chi tiết D35x01 bộ.</t>
  </si>
  <si>
    <t>Bộ phớt mặt chà 2 chi tiết D35</t>
  </si>
  <si>
    <t>Vòng cao su D210x3,5x1 vòng.</t>
  </si>
  <si>
    <t xml:space="preserve"> D210x3,5</t>
  </si>
  <si>
    <t>Bu lông êcu đệm vênh đệm bằng M16xL60x12 bộ. (Inox)</t>
  </si>
  <si>
    <t>M16xL60 (Inox)</t>
  </si>
  <si>
    <t xml:space="preserve">Bơm Nước biển số 1 'Thay các chi tiết hong theo BB </t>
  </si>
  <si>
    <t>Bộ phớt mặt chà 2 chi tiết D22x01 bộ.</t>
  </si>
  <si>
    <t>Bộ phớt mặt chà 2 chi tiết D22</t>
  </si>
  <si>
    <t>Gudong ecu M14x40 (inox)</t>
  </si>
  <si>
    <t>Bulong êcu M14x50(inox)</t>
  </si>
  <si>
    <t>Bulong êcu M16x60. (inox)</t>
  </si>
  <si>
    <t>Vòng cao su D185x6x1 vòng.</t>
  </si>
  <si>
    <t xml:space="preserve">Bơm Nước ngọt số 2 'Thay các chi tiết hỏng theo BB </t>
  </si>
  <si>
    <t>Gudong ecu M14x40x4 bộ. (Inox)</t>
  </si>
  <si>
    <t xml:space="preserve"> M14x40 (Inox)</t>
  </si>
  <si>
    <t>Bulong êcu M14x50x4 bộ. (Inox)</t>
  </si>
  <si>
    <t>M14x50 (Inox)</t>
  </si>
  <si>
    <t>Bulong êcu M14x60x4 bộ. (Inox)</t>
  </si>
  <si>
    <t xml:space="preserve"> M14x60 (Inox)</t>
  </si>
  <si>
    <t>Vòng cao su D185x6</t>
  </si>
  <si>
    <t xml:space="preserve">Bơm Nước biển số 2 - Thay các chi tiết hỏng theo BB </t>
  </si>
  <si>
    <t>Vòng cao su D210x3,5</t>
  </si>
  <si>
    <t>Bu lông êcu đệm vênh đệm bằng M16x60x08 bộ (inox).</t>
  </si>
  <si>
    <t>M16x60 (Inox)</t>
  </si>
  <si>
    <t>Hệ van ống nước biển làm mát máy chính, máy phát</t>
  </si>
  <si>
    <t>Vành cao su tay gạt van 5K 200A ( đúc cao su mới)</t>
  </si>
  <si>
    <t>5K- 200A</t>
  </si>
  <si>
    <t>Hộp điều khiển tay van 5K - 200A</t>
  </si>
  <si>
    <t xml:space="preserve"> Bánh răng truyền động tay đóng mở van</t>
  </si>
  <si>
    <t>Keo dán 2 thành phần A-B</t>
  </si>
  <si>
    <t>M20xL70x10 bộ. (Inox)</t>
  </si>
  <si>
    <t>M20xL70 (Inox)</t>
  </si>
  <si>
    <t>M12xL50x20 bộ. (Inox)</t>
  </si>
  <si>
    <t>M12xL50 (Inox)</t>
  </si>
  <si>
    <t>Đệm nhựa hộp van thông biển</t>
  </si>
  <si>
    <t>Thay mới 0,6m2 đệm cao su 1mm.</t>
  </si>
  <si>
    <t>M16xL60x10 bộ. (Inox)</t>
  </si>
  <si>
    <t>M12xL40x10 bộ. (Inox)</t>
  </si>
  <si>
    <t>M12xL40 (Inox)</t>
  </si>
  <si>
    <t>Que hàn inoc D3,2</t>
  </si>
  <si>
    <t>Trục chân vịt, lái - bánh lái</t>
  </si>
  <si>
    <t>Giấy ráp mịn</t>
  </si>
  <si>
    <t>YC2</t>
  </si>
  <si>
    <t>Chốt chẻ inox D4x40: 04 cái.</t>
  </si>
  <si>
    <t xml:space="preserve"> D4x40: 04 cái.</t>
  </si>
  <si>
    <t>Bu lông lục giác M12xL60: 12 bộ. (Inox)</t>
  </si>
  <si>
    <t xml:space="preserve"> M12xL60 (Inox)</t>
  </si>
  <si>
    <t>Vít lục giác M10xL30: 02 cái.</t>
  </si>
  <si>
    <t>M10xL30 (Inox)</t>
  </si>
  <si>
    <t>Keo Epoxy 611</t>
  </si>
  <si>
    <t>Hệ bánh lái</t>
  </si>
  <si>
    <t>Tết chỉ 20x20 mỡ</t>
  </si>
  <si>
    <t>20x20</t>
  </si>
  <si>
    <t xml:space="preserve">Kiểm tra sửa chữa hệ thống đèn hành trình, thay mới 02 đèn </t>
  </si>
  <si>
    <t>Đèn hảnh trình</t>
  </si>
  <si>
    <t>220V</t>
  </si>
  <si>
    <t>Đèn nháy</t>
  </si>
  <si>
    <t xml:space="preserve">Vật tư dự phòng </t>
  </si>
  <si>
    <t>Kẽm chống ăn mòn máy phụ 70kw</t>
  </si>
  <si>
    <t>Kohler</t>
  </si>
  <si>
    <t>Lõi lọc gió máy phụ 70kw</t>
  </si>
  <si>
    <t xml:space="preserve"> GM87479 </t>
  </si>
  <si>
    <t>Cánh bơm nước biển cao su máy phụ 70kw</t>
  </si>
  <si>
    <t>Hạng mục khác</t>
  </si>
  <si>
    <t>Nhôm thân vỏ</t>
  </si>
  <si>
    <t xml:space="preserve">Hàn bù 10 vị trí bị xâm thực, 03 lỗ thủng (Hàn trong và ngoài)  sau khi làm sạch bề mặt, thử kín vết hàn sau khi xử lý lỗ thủng  </t>
  </si>
  <si>
    <t>Vị trí</t>
  </si>
  <si>
    <t>Vệ sinh, xảm keo epoxy + bột đá các vị trí bị xâm thực bề mặt nhôm vỏ tàu - 10m2</t>
  </si>
  <si>
    <t xml:space="preserve">Vệ sinh, bên trong khoang máy mạn phải phục vụ hàn bù. </t>
  </si>
  <si>
    <t>Càng tôm hệ trục chân vịt</t>
  </si>
  <si>
    <t>Vệ sinh, xảm keo epoxy + bột đá vị trí làm kín khe hở với thân vỏ. SL: 02 cái (tính 1m2)</t>
  </si>
  <si>
    <t xml:space="preserve">Bánh lái </t>
  </si>
  <si>
    <t xml:space="preserve"> 'Vệ sinh, xảm keo epoxy + bột đá vị trí làm kín khe hở với thân vỏ. SL: 02 cái (tính 1m2)</t>
  </si>
  <si>
    <t xml:space="preserve"> 'Vệ sinh, xảm keo epoxy + bột đá vị trí làm kín lỗ công nghệ ( 04 vị trí)</t>
  </si>
  <si>
    <t>MÁY CHÍNH PHẢI</t>
  </si>
  <si>
    <t>Thay thế vật tư sau</t>
  </si>
  <si>
    <t>Sinh hàn nước làm mát</t>
  </si>
  <si>
    <t>Vòng su d48x5.5</t>
  </si>
  <si>
    <t xml:space="preserve"> d48x5.5</t>
  </si>
  <si>
    <t>Vòng su d54x5.5</t>
  </si>
  <si>
    <t xml:space="preserve"> d54x5.5</t>
  </si>
  <si>
    <t>Vòng su d69x5.5</t>
  </si>
  <si>
    <t xml:space="preserve"> d69x5.5</t>
  </si>
  <si>
    <t>Vòng su d79x3.5</t>
  </si>
  <si>
    <t xml:space="preserve"> d79x3.5</t>
  </si>
  <si>
    <t>Vòng su d27x5</t>
  </si>
  <si>
    <t xml:space="preserve"> d27x5</t>
  </si>
  <si>
    <t>Vòng su d114x6</t>
  </si>
  <si>
    <t>d114x6</t>
  </si>
  <si>
    <t>Vòng su d170x3.5</t>
  </si>
  <si>
    <t xml:space="preserve"> d170x3.5</t>
  </si>
  <si>
    <t>Sinh hàn hộp số</t>
  </si>
  <si>
    <t xml:space="preserve">Kẽm sinh hàn </t>
  </si>
  <si>
    <t>Đệm đồng D17</t>
  </si>
  <si>
    <t xml:space="preserve"> D17</t>
  </si>
  <si>
    <t>MÁY CHÍNH TRÁI</t>
  </si>
  <si>
    <t>Cụm</t>
  </si>
  <si>
    <t>Hệ Trục- Hệ lái</t>
  </si>
  <si>
    <t>Hệ trục chân vịt :Thép không rỉ SUS316, đường kính cơ bản của trục D=128mm</t>
  </si>
  <si>
    <t>Tháo tuốc tô, đo lệch tâm, gãy khúc lập bảng số liệu trước khi tàu lên đà và sau khi hạ thủy</t>
  </si>
  <si>
    <t xml:space="preserve"> - Tháo ốp chắn rác, đo khe hở bạc trục, Lập bảng số liệu trình chủ tàu và đăng kiểm</t>
  </si>
  <si>
    <t xml:space="preserve"> - Cạo hà, vệ sinh đánh bóng toàn bộ đoạn trục nằm ngoài ống bao, đánh bóng chân vịt</t>
  </si>
  <si>
    <t>Chân vịt D1100</t>
  </si>
  <si>
    <t>- Vệ sinh cạo hà, đánh bóng chân vịt</t>
  </si>
  <si>
    <t>Hệ trục lái Thép không rỉ SUS304, đường kính 85mm và bánh lái</t>
  </si>
  <si>
    <t xml:space="preserve">Đánh bóng 02 bánh lái, vệ sinh, sơn lại </t>
  </si>
  <si>
    <t xml:space="preserve"> - Thay 4 viên kẽm mới cho bánh lái, 2kg /viên: (bậc 4/7)</t>
  </si>
  <si>
    <t>Tháo mở xéc tơ lái, ổ đỡ trên, dưới tháo bánh lái, hạ bánh lái xuống sàn.  Bậc 4/7</t>
  </si>
  <si>
    <t>Vệ sinh, kiểm tra trục lái, đo ke hở trục lái và Bạc, lập BB, vô dầu mỡ ổ đỡ và lắp ráp lại, thử hoạt động</t>
  </si>
  <si>
    <t xml:space="preserve">Máy phát điện KOLHER số 1 (máy trái) - 50kW: Máy số 2,  (máy phải) </t>
  </si>
  <si>
    <t xml:space="preserve">Cẩu chuyển 02 đầu phát điện về nhà xưởng, </t>
  </si>
  <si>
    <t>Thay mới tủ bằng Inox 1,5 mm</t>
  </si>
  <si>
    <t>Cắt điện bờ; Đánh dấu, Tháo các đầu dây, các cực đấu dây, các atomats, đồng hồ pha, đồng hồ công suất. lắp lại các cực, đế dây, các đồng hồ</t>
  </si>
  <si>
    <t>Tháo hộp điện cũ .Gia công chân đế. Lắp ráp hộp điện mới  (đã có vật tư theo HĐ ban đầu)</t>
  </si>
  <si>
    <t>Hệ thống làm mát nước biển máy chính</t>
  </si>
  <si>
    <t>Tháo khung sạp. ống phục vụ. Công tác sửa chữa, lắp ráp lại sau khi sửa xong</t>
  </si>
  <si>
    <t xml:space="preserve">+Khung sạp: 12m2. </t>
  </si>
  <si>
    <t>'+Ống D140: 4m. ( tính 50% đơn giá bảo dưỡng)</t>
  </si>
  <si>
    <t>Van ống toàn tàu</t>
  </si>
  <si>
    <t>- Gia công mới lá van D75xL70: 01 cái (đồng).</t>
  </si>
  <si>
    <t>- Tiện láng đế van: 03 cái.</t>
  </si>
  <si>
    <t>- Tiện láng 02 lá van, gia công mới 01 lá van.</t>
  </si>
  <si>
    <t>- Tiện láng đế van+ lá van D65: 01 bộ.</t>
  </si>
  <si>
    <t>- Hàn bù  ty van D30xL250 (đồng).</t>
  </si>
  <si>
    <t>- Khoan ta rô Bu long gãy M8: 02 cái.</t>
  </si>
  <si>
    <t>-Khoan ta rô, thay mới tay mở van 12x12: 01 cái.</t>
  </si>
  <si>
    <t>- Thay mới, hàn tay xách giỏ lọc: 05 cái. (inox D8xL200/01 cái)</t>
  </si>
  <si>
    <t>Bu lông ê cu hệ thống van ống</t>
  </si>
  <si>
    <t>M10xL40: 30 bộ (inox).</t>
  </si>
  <si>
    <t>M8xL20: 25 bộ (inox).</t>
  </si>
  <si>
    <t>M12x50: 60 bộ (inox).</t>
  </si>
  <si>
    <t>M12x60: 60 bộ (inox).</t>
  </si>
  <si>
    <t>M14x60: 70 bộ (inox).</t>
  </si>
  <si>
    <t>M14x100: 36 bộ (inox).</t>
  </si>
  <si>
    <t>M16x120: 48 bộ (inox).</t>
  </si>
  <si>
    <t>Gudong M14x120: 24 bộ (inox)</t>
  </si>
  <si>
    <t>Ê cu M14: 24 cái (inox).</t>
  </si>
  <si>
    <t xml:space="preserve">CHI PHÍ VẬT TƯ NGUYÊN VẬT LIỆU PHẦN PHÁT SINH </t>
  </si>
  <si>
    <t>PHẦN SƠN</t>
  </si>
  <si>
    <t xml:space="preserve">Que hàn nhôm </t>
  </si>
  <si>
    <t>ALMG5/5356 F2.4</t>
  </si>
  <si>
    <t>Argon</t>
  </si>
  <si>
    <t>Ø125</t>
  </si>
  <si>
    <t>Epoxy 611 (loại 0,6kg/h)</t>
  </si>
  <si>
    <t>Hệ trục càng tôm</t>
  </si>
  <si>
    <t>Hãng BAUDOUIN</t>
  </si>
  <si>
    <t>Hệ trục chân vịt : D=128mm</t>
  </si>
  <si>
    <t xml:space="preserve">Dầu rửa </t>
  </si>
  <si>
    <t>Giấy nhám mịn</t>
  </si>
  <si>
    <t>Hàn quốc</t>
  </si>
  <si>
    <t>Đá mài nhám xếp</t>
  </si>
  <si>
    <t>Hệ trục lái và bánh lái</t>
  </si>
  <si>
    <t>IX</t>
  </si>
  <si>
    <t>TRANG THIẾT BỊ ĐIỆN</t>
  </si>
  <si>
    <t>Máy phát điện KOLHER số 1 (máy trái) - 50kW, số 2,  (máy phải)</t>
  </si>
  <si>
    <t>Xăng CN</t>
  </si>
  <si>
    <t>Hóa chất 3000AD ( dầu rửa mạch điện)</t>
  </si>
  <si>
    <t>3000AD</t>
  </si>
  <si>
    <t>Băng keo cách điện</t>
  </si>
  <si>
    <t>cuôn</t>
  </si>
  <si>
    <t>Bulong ecu M8x30 inox 304 + đệm bằng, đệm vênh</t>
  </si>
  <si>
    <t>M8x30 inoc</t>
  </si>
  <si>
    <t>Bulong ecu M10x40 thép + đệm bằng, đệm vênh</t>
  </si>
  <si>
    <t>M10x40 thép</t>
  </si>
  <si>
    <t>Bulong ecu M6x10 thép + đệm bằng, đệm vênh</t>
  </si>
  <si>
    <t>Cao su tấm 5mm</t>
  </si>
  <si>
    <t>- Vành cao su đúc van gạt D200: 04 cái. (Đúc mới cao su )</t>
  </si>
  <si>
    <t xml:space="preserve"> D200: 04</t>
  </si>
  <si>
    <t xml:space="preserve">Nắp trục bánh răng: 02 cái.  </t>
  </si>
  <si>
    <t>Hệ thống van ống toàn tàu</t>
  </si>
  <si>
    <t>Vành cao su đúc van gạt  D125 : 03 cái. (Đúc mới cao su)</t>
  </si>
  <si>
    <t>D125</t>
  </si>
  <si>
    <t xml:space="preserve"> Vành cao su đúc van gạt D65 : 05 cái. (Đúc mới cao su)</t>
  </si>
  <si>
    <t>D65</t>
  </si>
  <si>
    <t>Vành cao su đúc van gạt D50 : 01 cái.  (Đúc mới cao su)</t>
  </si>
  <si>
    <t>D50</t>
  </si>
  <si>
    <t>Vành Cao su đúc van gạt D80 : 01 cái. (Đúc mới cao su)</t>
  </si>
  <si>
    <t>D80</t>
  </si>
  <si>
    <t>Đồng cây D100 x50</t>
  </si>
  <si>
    <t>D200x50</t>
  </si>
  <si>
    <t>Inox D8</t>
  </si>
  <si>
    <t>D8x200</t>
  </si>
  <si>
    <t>M8xL20: inox).</t>
  </si>
  <si>
    <t>M12x50:  (inox).</t>
  </si>
  <si>
    <t>M12x60: (inox).</t>
  </si>
  <si>
    <t>M14x60: (inox).</t>
  </si>
  <si>
    <t>M14x100: inox).</t>
  </si>
  <si>
    <t>M16x120: (inox).</t>
  </si>
  <si>
    <t>Gudong M14x120: (inox)</t>
  </si>
  <si>
    <t>Ê cu M14:  (inox).</t>
  </si>
  <si>
    <t>PHẦN II</t>
  </si>
  <si>
    <t>PHẦN BỔ SUNG  = C.I+C.II</t>
  </si>
  <si>
    <t>C.I</t>
  </si>
  <si>
    <t>Thay mới định vị KODED 922</t>
  </si>
  <si>
    <t>Lắp dặt khối chỉ thị, khối ăng ten, khối nguồn</t>
  </si>
  <si>
    <t>Thông mạch, kiểm tra, hiệu chỉnh, nghiệm thu</t>
  </si>
  <si>
    <t>1.3</t>
  </si>
  <si>
    <t xml:space="preserve">Lặp đặt dây cáp tính hiệu,  Dây cáp điện bọc kim 0.6/1(1.2)KV </t>
  </si>
  <si>
    <t>Xuồng công tác</t>
  </si>
  <si>
    <t>Thay bộ nạp ắc quy xuồng Mastervolt 12/25-2; 12V -25A</t>
  </si>
  <si>
    <t>2.2</t>
  </si>
  <si>
    <t xml:space="preserve">Thay mới ắc quy </t>
  </si>
  <si>
    <t xml:space="preserve">12V </t>
  </si>
  <si>
    <t>2.3</t>
  </si>
  <si>
    <t>Thay bơm cứu hộ xuồng công tác</t>
  </si>
  <si>
    <t>12V DC</t>
  </si>
  <si>
    <t>Bảo dưỡng bộ điều khiển bơm cứu hộ trên ca bin</t>
  </si>
  <si>
    <t>Tháo các tấm bảo vệ, kiểm tra, sửa chữa mạch cấp nguồn cho bộ điều khiển bơm cứu hộ, thay thế các chi tiết hỏng</t>
  </si>
  <si>
    <t xml:space="preserve">Sửa chữa, thay các thanh lan can hỏng sau lái </t>
  </si>
  <si>
    <t>M</t>
  </si>
  <si>
    <t>- Ống nhôm Φ34: 2.4m (ngang trên) + 1.5m (ngang dưới) - uốn cong</t>
  </si>
  <si>
    <t>- Ống nhôm Φ42: 1.5m (ngang trên) + 1.0m x 02 đoạn (đứng)</t>
  </si>
  <si>
    <t>Cắt, gia công, thay mới chân chống lan can: 
KT: Φ34x L700 x 02 cái (uốn cong)</t>
  </si>
  <si>
    <t>4.4</t>
  </si>
  <si>
    <t>Cắt, gia công, thay mới tay vịn cầu thang sau lái KT: Φ42xL1500 (uốn cong)</t>
  </si>
  <si>
    <t>4.5</t>
  </si>
  <si>
    <t>Cắt, gia công, thay mới móc khóa lan can 
KT: (50x40)xδ5 x 03 cái (Khoét lỗ Φ14)</t>
  </si>
  <si>
    <t>Bơm các loại</t>
  </si>
  <si>
    <t xml:space="preserve">Tháo lên nhà xưởng, tháo rã đến các chi tiết, vệ sinh, bảo dưỡng thay thế các chi tiết hỏng (Vật tư thay thế tính riêng), lắp ráp, thử hoạt động </t>
  </si>
  <si>
    <t>Bơm cứu hỏa Q= 35m3/h; Bơm ly tâm</t>
  </si>
  <si>
    <t>Bơm hút khô  Q= 22m3/h, Bơm ly tâm</t>
  </si>
  <si>
    <t>5.3</t>
  </si>
  <si>
    <t>Bơm nước biển làm mát điều hòa Q= 15m3/h</t>
  </si>
  <si>
    <t xml:space="preserve">Bổ sung vật tư </t>
  </si>
  <si>
    <t>Thay Lọc tinh nhiện liệu máy chính 331005001224</t>
  </si>
  <si>
    <t>331005001224</t>
  </si>
  <si>
    <t>Thay Lọc dầu nhờn máy chính 15049130A</t>
  </si>
  <si>
    <t xml:space="preserve"> 15049130A</t>
  </si>
  <si>
    <t>C.II</t>
  </si>
  <si>
    <t>CHI PHÍ NGUYÊN VẬT LIỆU PHẦN BỔ SUNG</t>
  </si>
  <si>
    <t>Máy định vị KODED 922</t>
  </si>
  <si>
    <t>Định vị vệ tinh KGP-922 (bao gồm: khối hiển thị và khối điều khiển GPS - 922; 01 ăng ten GA-09 kèm 15m dây cáp tín hiệu, phụ kện lắp đặt, 01 tài liệu hướng dẫn sử dụng</t>
  </si>
  <si>
    <t xml:space="preserve"> KODED 922</t>
  </si>
  <si>
    <t>Đài Loan</t>
  </si>
  <si>
    <t>Bộ nạp ắc quy xuồng Mastervolt 12/25-2; 12V -25A</t>
  </si>
  <si>
    <t>12V -25A</t>
  </si>
  <si>
    <t xml:space="preserve">Ắc quy 12V </t>
  </si>
  <si>
    <t>Bơm cứu hộ xuồng công tác</t>
  </si>
  <si>
    <t>giẻ lau</t>
  </si>
  <si>
    <t>Sửa chữa bộ điều khiển bơm cứu hộ trên ca bin</t>
  </si>
  <si>
    <t>Ống nhôm Φ34xδ2.5 ( 6,4m = 6kg)</t>
  </si>
  <si>
    <t>Φ34xδ2.5</t>
  </si>
  <si>
    <t>Ống nhôm Φ42xδ3.0 6m = 11kg)</t>
  </si>
  <si>
    <t xml:space="preserve"> Φ42xδ3.0</t>
  </si>
  <si>
    <t>Nhôm tấm δ5</t>
  </si>
  <si>
    <t>δ5</t>
  </si>
  <si>
    <t>Dây hàn nhôm D1.2 loại ER5183</t>
  </si>
  <si>
    <t xml:space="preserve"> D1.2 </t>
  </si>
  <si>
    <t>Đá mài D100</t>
  </si>
  <si>
    <t>Đá cắt D100</t>
  </si>
  <si>
    <t>Phớt kín nước 03 chi tiết D=22-35 các loại</t>
  </si>
  <si>
    <t xml:space="preserve">Keo đỏ </t>
  </si>
  <si>
    <t>Sơn chống rỉ</t>
  </si>
  <si>
    <t>Sơn Xanh</t>
  </si>
  <si>
    <t>Bổ sung vật tư</t>
  </si>
  <si>
    <t>Lọc tinh nhiện liệu máy chính 331005001224</t>
  </si>
  <si>
    <t>Lọc dầu nhờn máy chính 15049130A</t>
  </si>
  <si>
    <t>VẬT TƯ DỰ PHÒNG</t>
  </si>
  <si>
    <t xml:space="preserve">Vật tư dự phòng máy đèn </t>
  </si>
  <si>
    <t>Bầu lọc dầu nhờn máy phụ KOHLER 50Kw</t>
  </si>
  <si>
    <t>Cánh bơm nước máy phụ KOHLER 50Kw</t>
  </si>
  <si>
    <t>Kẽm chống ăn mòn máy phụ KOHLER 50Kw</t>
  </si>
  <si>
    <t>TỔNG CỘNG =A+B+C+D</t>
  </si>
  <si>
    <t>PHẦN I - PHÁT SINH</t>
  </si>
  <si>
    <t>PHẦN DỊCH VỤ CHUNG</t>
  </si>
  <si>
    <t>Ngày neo đậu tàu tại cầu cảng</t>
  </si>
  <si>
    <t>Ngày</t>
  </si>
  <si>
    <t>Dự kiến tính theo số ngày thực tế</t>
  </si>
  <si>
    <t>Dịch chuyển toàn bộ các chồng nề để phục vụ thổi cát, phun sơn và trát keo, mài phẳng các vị trí mòn rỗ cục bộ bề mặt vỏ tàu.</t>
  </si>
  <si>
    <t>Chồng</t>
  </si>
  <si>
    <t>Nhân công:</t>
  </si>
  <si>
    <t>Trét keo, mài phẳng các vị trí mòn rỗ cục bộ bề mặt vỏ tàu</t>
  </si>
  <si>
    <t>Tàu</t>
  </si>
  <si>
    <t>Mài, đo chiều dày nhôm vỏ, điền kết quả vào bản vẽ</t>
  </si>
  <si>
    <t xml:space="preserve">Chuyển thiết bị xuống Đốc, hàn xử lý lỗ thủng </t>
  </si>
  <si>
    <t>Lần</t>
  </si>
  <si>
    <t>Vật tư:</t>
  </si>
  <si>
    <t xml:space="preserve"> - Keo Benzona</t>
  </si>
  <si>
    <t>U.K</t>
  </si>
  <si>
    <t xml:space="preserve"> - Tấm nhựa trét keo</t>
  </si>
  <si>
    <t xml:space="preserve"> - Dây hàn nhôm</t>
  </si>
  <si>
    <t>2.4</t>
  </si>
  <si>
    <t xml:space="preserve"> - Khí Ắc gông</t>
  </si>
  <si>
    <t>2.5</t>
  </si>
  <si>
    <t xml:space="preserve"> - Nhá xếp D100</t>
  </si>
  <si>
    <t>2.6</t>
  </si>
  <si>
    <t xml:space="preserve"> - Đá cắt D100</t>
  </si>
  <si>
    <t>Bơm hút khô dằn, chữa cháy dùng chung 3kW: Tháo bơm chuyển về phân xưởng, tháo rã, vệ sinh, kiểm tra, thay chi tiết hư hỏng. Lắp ráp hoàn thiện, thử hoạt động cùng hệ thống</t>
  </si>
  <si>
    <t>Bơm hút khô dằn, chữa cháy dùng chung 3kW</t>
  </si>
  <si>
    <t xml:space="preserve"> - Phớt bơm hút khô dằn, chữa cháy dùng chung 3kW</t>
  </si>
  <si>
    <t xml:space="preserve"> - Vòng cao su kín nước họng Bơm D180x4 mm</t>
  </si>
  <si>
    <t xml:space="preserve"> - Bulong ecu Inox 304</t>
  </si>
  <si>
    <t>M14x60</t>
  </si>
  <si>
    <t>Gia công cút trộn</t>
  </si>
  <si>
    <t xml:space="preserve"> - Ống Inox 304 D300</t>
  </si>
  <si>
    <t>SCH40</t>
  </si>
  <si>
    <t xml:space="preserve"> - Ống Inox 304 D180 </t>
  </si>
  <si>
    <t xml:space="preserve"> - Ống Inox 304 D42</t>
  </si>
  <si>
    <t xml:space="preserve"> - Inox tấm D300x180x8mm</t>
  </si>
  <si>
    <t>2.7</t>
  </si>
  <si>
    <t xml:space="preserve"> - Lưới Inox tấm D300x180x8mm</t>
  </si>
  <si>
    <t>2.8</t>
  </si>
  <si>
    <t xml:space="preserve"> - Mặt bích Inox D300x14mm</t>
  </si>
  <si>
    <t>2.9</t>
  </si>
  <si>
    <t xml:space="preserve"> - Bulong ecu thép mạ kẽm</t>
  </si>
  <si>
    <t>2.10</t>
  </si>
  <si>
    <t xml:space="preserve"> - Que hàn Inox 3,2 mm</t>
  </si>
  <si>
    <t>PHẦN VAN ỐNG</t>
  </si>
  <si>
    <t>Cút trộn nước biển máy lai bơm cứu hộ (D300x300): Tháo sửa chữa hàn vá các vị trí mọt thủng.</t>
  </si>
  <si>
    <t>Cắt xả ống củ mục hỏng, thay mới đường ống khí xả máy phụ số 1,2 và máy lai bơm cứu hộ Kt: D140 x 500</t>
  </si>
  <si>
    <t>Đoạn</t>
  </si>
  <si>
    <t xml:space="preserve">Ống mạ kẽm 125A </t>
  </si>
  <si>
    <t>D140; SCH 40</t>
  </si>
  <si>
    <t xml:space="preserve">Co thép đen đúc 90 độ A125 </t>
  </si>
  <si>
    <t xml:space="preserve">Que hàn điện 3,2 </t>
  </si>
  <si>
    <t>40L, 120AT</t>
  </si>
  <si>
    <t>Đá cắt</t>
  </si>
  <si>
    <t>PHẦN CƠ KHÍ THIẾT BỊ BOONG</t>
  </si>
  <si>
    <t>Hệ trục chân vịt (D=148mm)</t>
  </si>
  <si>
    <t>Hệ</t>
  </si>
  <si>
    <t>Tháo ốp chắn rác, vệ sinh, phục vụ đo khe hở bạc trục chân vịt</t>
  </si>
  <si>
    <t>Đo khe hở bạc trục chân vịt</t>
  </si>
  <si>
    <t xml:space="preserve">PHẦN THIẾT BỊ NGÀNH ĐIỆN </t>
  </si>
  <si>
    <t>Các động cơ điện: Thực hiện tháo tách đầu dây, khớp nối, bu lông chân đế bắt động cơ điện vận chuyển lên nhà xưởng</t>
  </si>
  <si>
    <t>- Vệ sinh, bảo dưỡng, tẩm sấy stato động cơ điện theo qui trình</t>
  </si>
  <si>
    <t>- Lắp ráp hoàn chỉnh, chạy thử không tải, đấu lắp nghiệm thu hoạt động tại tàu</t>
  </si>
  <si>
    <t>Động cơ thông gió đẩy KMP 3,7kW</t>
  </si>
  <si>
    <t>Động cơ thông gió đẩy KMT 3,7kW</t>
  </si>
  <si>
    <t>Động cơ thông gió hút KMP 0,4kW</t>
  </si>
  <si>
    <t>1.4</t>
  </si>
  <si>
    <t>Động cơ thông gió hút KMT 2,2kW</t>
  </si>
  <si>
    <t xml:space="preserve"> - Vòng bi thông gió đẩy khoang máy</t>
  </si>
  <si>
    <t>Koyo</t>
  </si>
  <si>
    <t xml:space="preserve"> - Vòng bi thông gió hút KMP</t>
  </si>
  <si>
    <t xml:space="preserve"> - Vòng bi thông gió hút KMT</t>
  </si>
  <si>
    <t xml:space="preserve"> - Bulong + tán + long đền M10x40</t>
  </si>
  <si>
    <t>M10x40 inox</t>
  </si>
  <si>
    <t xml:space="preserve"> - Xăng A92</t>
  </si>
  <si>
    <t xml:space="preserve"> - Giẻ lau</t>
  </si>
  <si>
    <t xml:space="preserve"> - Sơn cách điện </t>
  </si>
  <si>
    <t xml:space="preserve"> - Chổi quét sơn</t>
  </si>
  <si>
    <t>dẹt</t>
  </si>
  <si>
    <t xml:space="preserve"> - Vecni cách điện</t>
  </si>
  <si>
    <t>Đài loan</t>
  </si>
  <si>
    <t xml:space="preserve"> - Sơn xanh</t>
  </si>
  <si>
    <t>NỘI DUNG PHÁT SINH SO VỚI HỢP ĐỒNG</t>
  </si>
  <si>
    <t>Động cơ lai mát phát điện: John Deere 4045AFM85; 120hp x 1500 v/p</t>
  </si>
  <si>
    <t xml:space="preserve">Tháo rời và lắp hoàn chỉnh các bộ phận, đường ống, hệ thống điện đi vào máy, khung sàn la canh (thợ 5/7) </t>
  </si>
  <si>
    <t>Nắp xy lanh: Tháo ống góp khí nạp, khí xả, bộ cảm biến. Tháo nắp xy-lanh đưa về xưởng vệ sinh trong và bên ngoài, kiểm tra, thay mới các chi tiết hòn hỏng. Rà xoáy xupap. Thay mới ron đệm. Lắp ráp hoàn thiện, căn chỉnh. (Tính cho 01 xylanh)</t>
  </si>
  <si>
    <t>XL</t>
  </si>
  <si>
    <t>Kim phun: Tháo đường dầu cao áp, đường dầu hồi, Tháo các vòi phun ra khỏi mặt qui-lát. Sau khi kiểm tra bảo dưỡng tại hãng xong lắp ráp hoàn thiện vào máy. (Tính cho 01 bộ; 30% ĐMKTKT)</t>
  </si>
  <si>
    <t>Bơm cao áp-điều tốc: Tháo cụm bơm cao áp-điều tốc ra khỏi máy.Sau khi kiểm tra bảo dưỡng tại hãng xong lắp ráp hoàn thiện vào máy (Tính 35% ĐMKTKT)</t>
  </si>
  <si>
    <t>1.5</t>
  </si>
  <si>
    <t>Bơm dầu nhờn áp lực máy: Tháo, vệ sinh, kiểm tra, thay các chi tiết hỏng, lắp ráp hoàn thiện.</t>
  </si>
  <si>
    <t>1.6</t>
  </si>
  <si>
    <t>Tuabin: Tháo tách tua-bin tăng áp ra khỏi bầu góp khí xả, khí nạp, tách tua-bin khỏi máy vận chuyển về xưởng. Tháo rã, vệ sinh, kiểm tra, thay mới chi tiết mòn hỏng, thay ron đệm. Lắp ráp hoàn thiện.</t>
  </si>
  <si>
    <t>1.7</t>
  </si>
  <si>
    <t>Xilanh: Tháo rút sơ mi xylanh, vệ sinh, đo kiểm tra độ côn, độ ô-van của somi xi-lanh, kiểm tra vòng làm kín, thay mới các chi tiết hỏng. Thay ron đệm, lắp ráp hoàn thiện. (Tính cho 01 chiếc)</t>
  </si>
  <si>
    <t>1.8</t>
  </si>
  <si>
    <t>Cát te: Tháo hạ các te phục vụ tháo rút piston tay biên. Vệ sinh, kiểm tra. Thay ron đệm. Lắp ráp hoàn thiện</t>
  </si>
  <si>
    <t>1.9</t>
  </si>
  <si>
    <t>Cụm piston-tay biên: Tháo rút piston cùng tay biên, vệ sinh, kiểm tra các séc-măng, kiểm tra khe hở bạc ắc piston, thay mới chi tiết mòn, hỏng. Lắp ráp hoàn thiện.( Tính cho 01 bộ)</t>
  </si>
  <si>
    <t>1.10</t>
  </si>
  <si>
    <t>Bạc biên: Mở bạc kiểm tra khe hở của bạc biên, cạo rà, thay mới (nếu cần), ráp lại. (Tính cho 01 bộ)</t>
  </si>
  <si>
    <t>1.11</t>
  </si>
  <si>
    <t>Cổ biên:  Đo, kiểm tra độ mòn, độ ô-van, vệ sinh, đánh bóng các cổ biên (Tính cho 01 cổ)</t>
  </si>
  <si>
    <t>Cổ</t>
  </si>
  <si>
    <t>1.12</t>
  </si>
  <si>
    <t>Blốc xilanh-hòm trục: Vệ sinh bên trong các khoang nước làm mát, kiểm tra các gờ, bề mặt lắp ghép. Sửa chữa các hư hỏng thông thường, thông đường nhớt.</t>
  </si>
  <si>
    <t>1.13</t>
  </si>
  <si>
    <t>Căn chinh đồng tâm diegen + máy phát.</t>
  </si>
  <si>
    <t>TH</t>
  </si>
  <si>
    <t>1.14</t>
  </si>
  <si>
    <t>Các ống dầu, nước trên máy: Tháo, vệ sinh, kiểm tra, thông đường ống, lắp ráp</t>
  </si>
  <si>
    <t>1.15</t>
  </si>
  <si>
    <t>Thử áp lực nước:Sau khi L/ráp hoàn chỉnh, tiến hành thử áp lực, xiết lại rò rỉ.</t>
  </si>
  <si>
    <t>1.16</t>
  </si>
  <si>
    <t>Thử máy theo qui trình sau khi sửa chữa, bàn giao.</t>
  </si>
  <si>
    <t>1.17</t>
  </si>
  <si>
    <t>Sinh hàn nhớt: Tháo, ngâm hóa chất, vệ sinh xúc rửa, thử áp lực kiểm tra. Thay mới ron đệm, lắp ráp hoàn thiện (Tính cho 01 chiếc).</t>
  </si>
  <si>
    <t>1.18</t>
  </si>
  <si>
    <t>Sinh hàn gió: Tháo, ngâm hóa chất, vệ sinh xúc rửa, thử áp lực kiểm tra. Thay mới ron đệm, lắp ráp hoàn thiện (Tính cho 01 chiếc).</t>
  </si>
  <si>
    <t>1.19</t>
  </si>
  <si>
    <t>Sinh hàn nước: Tháo, ngâm hóa chất, vệ sinh xúc rửa, thử áp lực kiểm tra. Thay mới ron đệm, lắp ráp hoàn thiện (Tính cho 01 chiếc).</t>
  </si>
  <si>
    <t xml:space="preserve"> - Dầu vệ sinh </t>
  </si>
  <si>
    <t xml:space="preserve"> - Nhớt HD40</t>
  </si>
  <si>
    <t xml:space="preserve"> - Giẻ lau sạch</t>
  </si>
  <si>
    <t xml:space="preserve"> - Hoá chất AT 4000</t>
  </si>
  <si>
    <t xml:space="preserve"> - Hoá chất AT 5400</t>
  </si>
  <si>
    <t xml:space="preserve"> - Cát rà Mỹ</t>
  </si>
  <si>
    <t>Mỹ</t>
  </si>
  <si>
    <t xml:space="preserve"> - Keo Red</t>
  </si>
  <si>
    <t xml:space="preserve"> - Keo Matis</t>
  </si>
  <si>
    <t xml:space="preserve"> - Keo DECON</t>
  </si>
  <si>
    <t xml:space="preserve"> - Dầu RP7</t>
  </si>
  <si>
    <t>2.11</t>
  </si>
  <si>
    <t xml:space="preserve"> - Đệm bô xả</t>
  </si>
  <si>
    <t>2.12</t>
  </si>
  <si>
    <t xml:space="preserve"> - Đệm bô hút</t>
  </si>
  <si>
    <t>2.13</t>
  </si>
  <si>
    <t xml:space="preserve"> - Đệm tuabin khí xả</t>
  </si>
  <si>
    <t>2.14</t>
  </si>
  <si>
    <t xml:space="preserve"> - Ống cao su D42</t>
  </si>
  <si>
    <t>2.15</t>
  </si>
  <si>
    <t xml:space="preserve"> - Vòng kẹp inox D55</t>
  </si>
  <si>
    <t>2.16</t>
  </si>
  <si>
    <t xml:space="preserve"> - Ron Amiăng 1,5mm (CJ27)</t>
  </si>
  <si>
    <t>2.17</t>
  </si>
  <si>
    <t xml:space="preserve"> - Kim phun: Kiểm tra trên thiết bị chuyên dụng của hãng máy.</t>
  </si>
  <si>
    <t>2.18</t>
  </si>
  <si>
    <t xml:space="preserve"> - Cụm Bơm cao áp:  Kiểm tra trên thiết bị chuyên dụng của hãng máy.</t>
  </si>
  <si>
    <t>2.19</t>
  </si>
  <si>
    <t xml:space="preserve"> - Dây cudoa bản dẹt (theo mẫu)</t>
  </si>
  <si>
    <t>2.20</t>
  </si>
  <si>
    <t xml:space="preserve"> - Vải nhám cuộn A100</t>
  </si>
  <si>
    <t>2.21</t>
  </si>
  <si>
    <t xml:space="preserve"> - Cao su non</t>
  </si>
  <si>
    <t>2.22</t>
  </si>
  <si>
    <t xml:space="preserve"> - Đệm cao su chịu dầu</t>
  </si>
  <si>
    <t>2mm</t>
  </si>
  <si>
    <t>2.23</t>
  </si>
  <si>
    <t xml:space="preserve"> - Chổi đánh rỉ</t>
  </si>
  <si>
    <t>2.24</t>
  </si>
  <si>
    <t>M10x50</t>
  </si>
  <si>
    <t>2.25</t>
  </si>
  <si>
    <t>M12x50</t>
  </si>
  <si>
    <t>2.26</t>
  </si>
  <si>
    <t xml:space="preserve"> - Bộ xéc măng</t>
  </si>
  <si>
    <t>2.27</t>
  </si>
  <si>
    <t xml:space="preserve"> - Bạc biên</t>
  </si>
  <si>
    <t>2.28</t>
  </si>
  <si>
    <t xml:space="preserve"> - Đầu vòi phun</t>
  </si>
  <si>
    <t>Denso</t>
  </si>
  <si>
    <t>2.29</t>
  </si>
  <si>
    <t xml:space="preserve"> - Bộ gioăng xy lanh</t>
  </si>
  <si>
    <t>2.30</t>
  </si>
  <si>
    <t xml:space="preserve"> - Gioăng mặt máy</t>
  </si>
  <si>
    <t>2.31</t>
  </si>
  <si>
    <t xml:space="preserve"> - Phớt ghít xu páp</t>
  </si>
  <si>
    <t>2.32</t>
  </si>
  <si>
    <t xml:space="preserve"> - Gioăng kim phun</t>
  </si>
  <si>
    <t>2.33</t>
  </si>
  <si>
    <t xml:space="preserve"> - Đệm đầu kim phun</t>
  </si>
  <si>
    <t>2.36</t>
  </si>
  <si>
    <t xml:space="preserve"> - Đệm các te</t>
  </si>
  <si>
    <t>2.37</t>
  </si>
  <si>
    <t xml:space="preserve"> - Đệm nắp ca bô</t>
  </si>
  <si>
    <t>2.38</t>
  </si>
  <si>
    <t xml:space="preserve"> - Đệm hộp dàn cò</t>
  </si>
  <si>
    <t>2.39</t>
  </si>
  <si>
    <t xml:space="preserve"> - Gioăng tròn</t>
  </si>
  <si>
    <t>2.40</t>
  </si>
  <si>
    <t xml:space="preserve"> - Đệm cổ hút</t>
  </si>
  <si>
    <t>2.41</t>
  </si>
  <si>
    <t xml:space="preserve"> - Đệm kín vỏ sinh hàn gió</t>
  </si>
  <si>
    <t>2.42</t>
  </si>
  <si>
    <t xml:space="preserve"> - Gioăng tròn, đường nước sinh hàn gió</t>
  </si>
  <si>
    <t>2.43</t>
  </si>
  <si>
    <t xml:space="preserve"> - Gioăng tròn, sinh hàn gió</t>
  </si>
  <si>
    <t>2.44</t>
  </si>
  <si>
    <t xml:space="preserve"> - Gioăng tròn, đường khí vào sinh hàn gió</t>
  </si>
  <si>
    <t>2.45</t>
  </si>
  <si>
    <t xml:space="preserve"> - Gioăng tròn, lõi sinh hàn gió</t>
  </si>
  <si>
    <t>2.46</t>
  </si>
  <si>
    <t xml:space="preserve"> - Đệm vỏ van hằng nhiệt</t>
  </si>
  <si>
    <t>2.50</t>
  </si>
  <si>
    <t xml:space="preserve"> - Đệm kín bơm nước ngọt</t>
  </si>
  <si>
    <t>2.51</t>
  </si>
  <si>
    <t xml:space="preserve"> - Gioăng tròn, đường nước ngọt</t>
  </si>
  <si>
    <t>2.52</t>
  </si>
  <si>
    <t xml:space="preserve"> - Gioăng tròn, bơm dầu nhờn</t>
  </si>
  <si>
    <t>2.53</t>
  </si>
  <si>
    <t xml:space="preserve"> - Gioăng tròn, sinh hàn dầu</t>
  </si>
  <si>
    <t>2.54</t>
  </si>
  <si>
    <t xml:space="preserve"> - Đệm kín vỏ sinh hàn dầu</t>
  </si>
  <si>
    <t>2.55</t>
  </si>
  <si>
    <t>2.56</t>
  </si>
  <si>
    <t xml:space="preserve"> - Đệm kín, bầu lọc và vỏ sinh hàn dầu</t>
  </si>
  <si>
    <t>2.57</t>
  </si>
  <si>
    <t xml:space="preserve"> - Đệm kín tăng áp với ống xả</t>
  </si>
  <si>
    <t>2.58</t>
  </si>
  <si>
    <t xml:space="preserve"> - Đệm kín đường dầu hồi tăng áp</t>
  </si>
  <si>
    <t>Sửa chữa Bơm nước biển làm mát điều hòa bằng nước biển loại 15m3/h x  2,2kW REVI</t>
  </si>
  <si>
    <t>2.59</t>
  </si>
  <si>
    <t xml:space="preserve"> - Phớt bơm nước biển loại 15m3/h x  2,2kW REVI (theo mẫu)</t>
  </si>
  <si>
    <t>2.60</t>
  </si>
  <si>
    <t xml:space="preserve"> - Ron Orring D214x3,5</t>
  </si>
  <si>
    <t>2.61</t>
  </si>
  <si>
    <t xml:space="preserve"> - Bulong Inoc 304 M12x40</t>
  </si>
  <si>
    <t>Sửa chữa Bơm nước ngọt làm mát điều hòa bằng nước biển loại 15m3- 2,2kW EBARA</t>
  </si>
  <si>
    <t>2.62</t>
  </si>
  <si>
    <t xml:space="preserve"> - Phớt bơm EBARA 15 m3/h</t>
  </si>
  <si>
    <t>2.63</t>
  </si>
  <si>
    <t>2.64</t>
  </si>
  <si>
    <t>Sửa chữa Bơm Hydropho nước biển, nước ngọt sinh hoạt GRH-0.2-2R; 3m3/h</t>
  </si>
  <si>
    <t>2.65</t>
  </si>
  <si>
    <t xml:space="preserve"> - Phớt bơm GRH-0.2-2R; 3m3/h (theo mẫu)</t>
  </si>
  <si>
    <t>D12</t>
  </si>
  <si>
    <t>2.66</t>
  </si>
  <si>
    <t xml:space="preserve"> - Ron Orring D130x3,2</t>
  </si>
  <si>
    <t>2.67</t>
  </si>
  <si>
    <t>Tổ bình hydropho nước biển và nước ngọt GRH-0.2-2R;</t>
  </si>
  <si>
    <t>2.68</t>
  </si>
  <si>
    <t xml:space="preserve"> - Ống Inox 304 D49x3mm</t>
  </si>
  <si>
    <t>Ø49x3</t>
  </si>
  <si>
    <t>2.69</t>
  </si>
  <si>
    <t xml:space="preserve"> - Co Inox 304 90 độ D49x3mm</t>
  </si>
  <si>
    <t>2.70</t>
  </si>
  <si>
    <t>Ống nối đến van thông đáy máy phụ Kt 200AxL3000,: Mài rà, vệ sinh bề mặt bị rỗ thủng sâu, sử dụng keo đắp dán sửa chữa lại bề mặt bị rỗ sau đạt yêu cầu kỹ thuật.</t>
  </si>
  <si>
    <t>Van cánh bướm có cơ cấu dẫn động tay vặn.</t>
  </si>
  <si>
    <t>2 mặt bích 200A-5K</t>
  </si>
  <si>
    <t>Bulong ecu thép mạ kẽm M20x80</t>
  </si>
  <si>
    <t>M20x80</t>
  </si>
  <si>
    <t>Bulong ecu thép mạ kẽm M18x200</t>
  </si>
  <si>
    <t>M18x200</t>
  </si>
  <si>
    <t>Bulong ecu thép mạ kẽm M16x150</t>
  </si>
  <si>
    <t>M16x150</t>
  </si>
  <si>
    <t>Bulong ecu thép mạ kẽm M14x50</t>
  </si>
  <si>
    <t>M14x50</t>
  </si>
  <si>
    <t>Bulong ecu thép mạ kẽm M12x50</t>
  </si>
  <si>
    <t>Ống thép đúc 150A</t>
  </si>
  <si>
    <t>D168; SCH40</t>
  </si>
  <si>
    <t xml:space="preserve">Co thép đen đúc 90 độ 150A </t>
  </si>
  <si>
    <t>Mặt bích 150A-5k</t>
  </si>
  <si>
    <t>Ống thép đúc 100A</t>
  </si>
  <si>
    <t>D114; SCH40</t>
  </si>
  <si>
    <t xml:space="preserve">Co thép đen đúc 90 độ 100A </t>
  </si>
  <si>
    <t>Mặt bích 100A-5k</t>
  </si>
  <si>
    <t xml:space="preserve">Ống  thép mạ kẽm 50A </t>
  </si>
  <si>
    <t>D60; SCH40</t>
  </si>
  <si>
    <t xml:space="preserve">Ống  thép mạ kẽm 40A </t>
  </si>
  <si>
    <t>D49; SCH40</t>
  </si>
  <si>
    <t>Ống thép đúc 50A</t>
  </si>
  <si>
    <t xml:space="preserve">Co thép đen đúc 90 độ </t>
  </si>
  <si>
    <t xml:space="preserve">Co thép mạ kẽm 90 độ </t>
  </si>
  <si>
    <t xml:space="preserve">Co  thép mạ kẽm 40A </t>
  </si>
  <si>
    <t>Ống thép đúc 80A</t>
  </si>
  <si>
    <t>D90; SCH40</t>
  </si>
  <si>
    <t xml:space="preserve">Co thép đen đúc 90 độ 80A </t>
  </si>
  <si>
    <t>Mặt bích 80A-5k</t>
  </si>
  <si>
    <t>Que hàn Inox 3,2mm</t>
  </si>
  <si>
    <t>Hệ xích neo và neo</t>
  </si>
  <si>
    <t>Xích neo: Tháo hạ xích neo phục vụ bảo dưỡng tời neo và vệ sinh xích neo sau sửa chữa kéo lại xích neo</t>
  </si>
  <si>
    <t>Hệ cửa nắp hầm</t>
  </si>
  <si>
    <t>Keo dog X66</t>
  </si>
  <si>
    <t>X66 (loại 600gam)</t>
  </si>
  <si>
    <t>Xích neo và neo</t>
  </si>
  <si>
    <t>Chén cước chà gỉ D100</t>
  </si>
  <si>
    <t xml:space="preserve">Cụm tời neo </t>
  </si>
  <si>
    <t>Dầu phát sét RP7</t>
  </si>
  <si>
    <t>RP7</t>
  </si>
  <si>
    <t>Dầu vệ sinh</t>
  </si>
  <si>
    <t>Gioăng cao su các loại</t>
  </si>
  <si>
    <t>Sơn chống gỉ Hải âu nâu đỏ</t>
  </si>
  <si>
    <t>AUL-702</t>
  </si>
  <si>
    <t>Sơn đen hải âu</t>
  </si>
  <si>
    <t>AUP450</t>
  </si>
  <si>
    <t>Chổi quét sơn</t>
  </si>
  <si>
    <t>Bulong M14x60mm (tán + long đền phẳng + long đền vênh)</t>
  </si>
  <si>
    <t>Thép đen</t>
  </si>
  <si>
    <t>Bulong M18x80mm (tán + long đền phẳng + long đền vênh)</t>
  </si>
  <si>
    <t>Vú mỡ M10</t>
  </si>
  <si>
    <t>Hệ thống lái điện thủy lực SA-SG-1.6TM-TR-ASP-1000</t>
  </si>
  <si>
    <t>Sơn chống gỉ xám hải âu</t>
  </si>
  <si>
    <t>Phớt gạt bụi D45xD53</t>
  </si>
  <si>
    <t>Sửa chữa động cơ điện</t>
  </si>
  <si>
    <t>Vòng bi động cơ máy lái</t>
  </si>
  <si>
    <t>Vòng bi động cơ bơm nước biển làm mát điều hòa số 1</t>
  </si>
  <si>
    <t>Vòng bi động cơ bơm nước biển làm mát điều hòa số 2</t>
  </si>
  <si>
    <t>Vòng bi động cơ bơm nước ngọt làm mát điều hòa số 1</t>
  </si>
  <si>
    <t>Vòng bi động cơ bơm nước ngọt làm mát điều hòa số 2</t>
  </si>
  <si>
    <t>Vòng bi động cơ bơm Hydropho 6201</t>
  </si>
  <si>
    <t>Vòng bi động cơ bơm Hydropho 6204</t>
  </si>
  <si>
    <t>Vòng bi động cơ tời neo 6206</t>
  </si>
  <si>
    <t>Vòng bi động cơ tời neo 6208</t>
  </si>
  <si>
    <t>Vecni cách điện</t>
  </si>
  <si>
    <t>Chén cước chà rỉ D100</t>
  </si>
  <si>
    <t>Sơn xanh</t>
  </si>
  <si>
    <t>Bulong + tán + long đền M8x40</t>
  </si>
  <si>
    <t>M8x40 inox</t>
  </si>
  <si>
    <t>NỘI DUNG THAY ĐỔI SO VỚI HỢP ĐỒNG</t>
  </si>
  <si>
    <t xml:space="preserve"> - Tấm chống ăn mòn vỏ tàu</t>
  </si>
  <si>
    <t>TỔNG CỘNG CHI PHÍ ĐIỀU CHỈNH BỔ SUNG VÀ PHÁT SINH SỬA CHỮA, BẢO DƯỠNG ĐỊNH KỲ TÀU HQ-11-91-61 (MỤC A+B+C) ĐÃ BAO GỒM  THUẾ VAT</t>
  </si>
  <si>
    <r>
      <t xml:space="preserve">Tháo bu lon nối trục, đo độ gẫy, độ lệch trục, lập bảng số liệu, lắp ráp lại hoàn chỉnh. </t>
    </r>
    <r>
      <rPr>
        <i/>
        <sz val="12"/>
        <rFont val="Times New Roman"/>
        <family val="1"/>
      </rPr>
      <t>(Tính cho 01 lần tháo, lắp/ 01 khớp nối trục)</t>
    </r>
  </si>
  <si>
    <t>VIII</t>
  </si>
  <si>
    <t>CHI PHÍ VẬT TƯ, NGUYÊN VẬT LIỆU</t>
  </si>
  <si>
    <t>Phao SART 20: Thay thế 01 pin theo mẫu.</t>
  </si>
  <si>
    <t>Phao EPIRS Tron 60S: Sửa chữa, thay thế linh kiện hỏng: 01 pin theo mẫu, 01 bộ nhả, 01 chuyển mạch theo mẫu.</t>
  </si>
  <si>
    <t>Bơm nước ngọt sinh hoạt kèm bình áp lực: Bơm piston; 0,37kW/380V/50Hz; Q=2m3/h; H=4bar. Bình áp lực dung tích 200 lít: Lắp bổ sung 01 Máy bơm nước tự động điện áp 1 pha 220V; Q = 2m3/h; H = 30m. Gia công giá đỡ, đi lại đường ống vào, ra theo bơm.</t>
  </si>
  <si>
    <t>Ф16</t>
  </si>
  <si>
    <t>Ф20</t>
  </si>
  <si>
    <t>PHỤ LỤC 8</t>
  </si>
  <si>
    <t>BẢO DƯỠNG TÀU HQ11-91-60</t>
  </si>
  <si>
    <t>Phần vỏ bao dưới mớn nước: Mài, siêu âm 120 điểm</t>
  </si>
  <si>
    <t>+</t>
  </si>
  <si>
    <t>Lập bản vẽ siêu âm trình đăng kiểm.</t>
  </si>
  <si>
    <t>CV</t>
  </si>
  <si>
    <t>Thân vỏ bao dưới nước</t>
  </si>
  <si>
    <t>Vệ sinh bề mặt hàn đắp 20 điểm thân vỏ bao</t>
  </si>
  <si>
    <t>Vệ sinh bề mặt bả keo A+B vị trí 30 vị trí.</t>
  </si>
  <si>
    <t xml:space="preserve">Khi Argon </t>
  </si>
  <si>
    <t>Φ125</t>
  </si>
  <si>
    <t>Keo AB</t>
  </si>
  <si>
    <t>Thái Lan</t>
  </si>
  <si>
    <t xml:space="preserve">Đo thông số xích neo, lập biên bản đo trình đăng kiểm. </t>
  </si>
  <si>
    <t xml:space="preserve">Sơn chống gỉ </t>
  </si>
  <si>
    <t>M240</t>
  </si>
  <si>
    <t>Sơn đen</t>
  </si>
  <si>
    <t>M990</t>
  </si>
  <si>
    <t>Phần hệ trục chân vịt:</t>
  </si>
  <si>
    <t>Mài chà vệ sinh đánh bóng 2 chân vịt, 2 trục chân vịt. Đo khe hở bạc trục chân vịt.</t>
  </si>
  <si>
    <t>Tháo tuốc tô trục chân vit với hộp số kiểm tra đo A-V 02 hệ trục (thực hiện sau khi tàu hạ thủy ổn định).</t>
  </si>
  <si>
    <t xml:space="preserve">Đo thông số, lập biên bản đo trình đăng kiểm. </t>
  </si>
  <si>
    <t>Phần hệ van làm mát máy chính, thông biển</t>
  </si>
  <si>
    <t xml:space="preserve">Van thông biển máy chính D250 (van cách bướm có cơ cấu dẫn động): </t>
  </si>
  <si>
    <t>Đúc, gia công thay mới tấm ruột cao su.</t>
  </si>
  <si>
    <t xml:space="preserve">Việt Nam </t>
  </si>
  <si>
    <t>Van thông biển máy phụ D200 (van cách bướm có cơ cấu dẫn động):</t>
  </si>
  <si>
    <t>Van cứu hỏa: Thay mới</t>
  </si>
  <si>
    <t>Van cứu hỏa dạng van hép góc 90° 5K-50A</t>
  </si>
  <si>
    <t>T.Quốc</t>
  </si>
  <si>
    <t>Van chặn bằng thau mặt bích 5K-50A</t>
  </si>
  <si>
    <t>Inox tấm</t>
  </si>
  <si>
    <t>Bông gốm cách nhiệt</t>
  </si>
  <si>
    <t>V.Nam</t>
  </si>
  <si>
    <t>Giấy bạc</t>
  </si>
  <si>
    <t>m²</t>
  </si>
  <si>
    <t>Băng keo cách nhiệt</t>
  </si>
  <si>
    <t>Cuộn</t>
  </si>
  <si>
    <t>Lưới mắt cáo</t>
  </si>
  <si>
    <t>02 máy chính</t>
  </si>
  <si>
    <t>Đường ống kết nối máy chính: Kiểm tra đường ống sửa chữa lỗi rò dầu, rò nhớt ; thay mới 4 long dền thau xốp.</t>
  </si>
  <si>
    <t>Long đền thau xốp</t>
  </si>
  <si>
    <t>Máy John deere 4045AFFM85 (máy số 1)</t>
  </si>
  <si>
    <t>a</t>
  </si>
  <si>
    <t>Động cơ lai mát phát điện: John Deere 4045AFM85; 120hp x 1500 v/p (tháo trung tu tại tàu).</t>
  </si>
  <si>
    <t>Tháo các cụm chi tiết</t>
  </si>
  <si>
    <t>Tháo các chướng ngại vật xung quanh động cơ</t>
  </si>
  <si>
    <t>Xả sạch nước làm mát, dầu nhờn ra khỏi động cơ</t>
  </si>
  <si>
    <t>Tách kết nối động cơ và đầu phát</t>
  </si>
  <si>
    <t>Tháo các đường ống khí nạp, khí xả khỏi mặt máy</t>
  </si>
  <si>
    <t>Tháo sinh hàn gió, sinh hàn nước</t>
  </si>
  <si>
    <t>Tháo các đường ống nhiên liệu khỏi mặt máy</t>
  </si>
  <si>
    <t>Tháo kim phun</t>
  </si>
  <si>
    <t>Tháo nắp ca bô, tháo trục dàn cò, con đội, đũa đẩy</t>
  </si>
  <si>
    <t>Tháo các bu lông mặt máy, nhấc mặt máy ra khỏi block</t>
  </si>
  <si>
    <t>Tháo các bu lông các te, hạ các te khỏi block</t>
  </si>
  <si>
    <t>Tháo bu lông tay biên, rút piston tay biên khỏi block</t>
  </si>
  <si>
    <t>Tháo rút xy lanh khỏi block</t>
  </si>
  <si>
    <t>Vệ sinh, bảo quản các chi tiết sau khi tháo</t>
  </si>
  <si>
    <t>Thay mới vật tư, lắp ráp hoàn thiện động cơ. Nổ máy kiểm tra</t>
  </si>
  <si>
    <t>Đo kiểm tra độ mòn, độ ô van xy lanh</t>
  </si>
  <si>
    <t>Vệ sinh block, thay mới gioăng xy lanh, lắp lại xy lanh vào block</t>
  </si>
  <si>
    <t>Vệ sinh piston, thay mới 4 bộ xéc măng</t>
  </si>
  <si>
    <t>Thay mới bạc biên, lắp cụm piston tay biên vào block</t>
  </si>
  <si>
    <t>Xiết bu lông tay biên theo lực tiêu chuẩn</t>
  </si>
  <si>
    <t>Thay mới đệm các te, lắp các te vào block</t>
  </si>
  <si>
    <t>Tháo lò xo, móng hãm, xu páp kiểm tra tình trạng</t>
  </si>
  <si>
    <t>Vệ sinh, kiểm tra tình trạng mặt máy</t>
  </si>
  <si>
    <t>Rà kín xu páp, thay mới phớt ghít xu páp, lắp lại hoàn chỉnh mặt máy</t>
  </si>
  <si>
    <t>Thay mới gioăng mặt máy, lắp cụm mặt máy hoàn chỉnh lên block</t>
  </si>
  <si>
    <t>Lắp các bu lông mặt máy, xiết lực theo tiêu chuẩn</t>
  </si>
  <si>
    <t>Lắp trục dàn cò, con đội, đũa đẩy hoàn chỉnh phần mặt máy</t>
  </si>
  <si>
    <t>Vệ sinh, kiểm tra tình trạng kim phun. Thay mới gioăng đệm kim phun. Thay mới 4 đầu vòi phun.</t>
  </si>
  <si>
    <t>Lắp các đường ống nhiên liệu, khí nạp, khí xả</t>
  </si>
  <si>
    <t>Lắp các cụm sinh hàn gió, sinh hàn nước</t>
  </si>
  <si>
    <t>Lắp ráp hoàn chỉnh toàn bộ động cơ</t>
  </si>
  <si>
    <t>Châm dầu nhờn và nước làm mát</t>
  </si>
  <si>
    <t>Kết nối phần động cơ và đầu phát</t>
  </si>
  <si>
    <t>Nổ thử máy không tải, theo dõi tình trạng hoạt động của động cơ</t>
  </si>
  <si>
    <t>Nổ máy cấp tải kiểm tra hoạt động</t>
  </si>
  <si>
    <t>Bạc trục</t>
  </si>
  <si>
    <t>Bạc dọc trục</t>
  </si>
  <si>
    <t>Phớt ghít xu páp</t>
  </si>
  <si>
    <t>Gioăng tròn</t>
  </si>
  <si>
    <t>Gioăng tròn, đường nước sinh hàn gió</t>
  </si>
  <si>
    <t>Gioăng tròn, sinh hàn gió</t>
  </si>
  <si>
    <t>Gioăng tròn, đường khí vào sinh hàn gió</t>
  </si>
  <si>
    <t>Gioăng tròn, lõi sinh hàn gió</t>
  </si>
  <si>
    <t>Đệm vỏ van hằng nhiệt</t>
  </si>
  <si>
    <t>Gioăng tròn, bưởng đầu</t>
  </si>
  <si>
    <t>Đệm kín bơm nước ngọt</t>
  </si>
  <si>
    <t>Gioăng tròn, đường nước ngọt</t>
  </si>
  <si>
    <t>Gioăng tròn, bơm dầu nhờn</t>
  </si>
  <si>
    <t>Gioăng tròn, sinh hàn dầu</t>
  </si>
  <si>
    <t>Đệm kín vỏ sinh hàn dầu</t>
  </si>
  <si>
    <t>Gioăng tròn, vỏ sinh hàn dầu</t>
  </si>
  <si>
    <t>Đệm kín bầu lọc sinh hàn dầu</t>
  </si>
  <si>
    <t>Đệm kín tăng áp với ống xả</t>
  </si>
  <si>
    <t>Đệm kín đường dầu hồi tăng áp</t>
  </si>
  <si>
    <t>Đệm kín tăng áp và ống gom khí xả</t>
  </si>
  <si>
    <t>Gioăng tròn, đường dầu cấp</t>
  </si>
  <si>
    <t>Gioăng tròn, đường dầu hồi</t>
  </si>
  <si>
    <t>Van hằng nhiệt</t>
  </si>
  <si>
    <t>Gioăng đường bơm nước biển</t>
  </si>
  <si>
    <t>Gioăng mặt bích bơm nước biển</t>
  </si>
  <si>
    <t>Cảm biến nhiệt độ nước làm mát</t>
  </si>
  <si>
    <t>Cảm biến áp lực nước làm mát thấp</t>
  </si>
  <si>
    <t>Cảm biến áp lực dầu nhờn</t>
  </si>
  <si>
    <t>Rơ le áp lực dầu nhờn</t>
  </si>
  <si>
    <t>b</t>
  </si>
  <si>
    <t>Quấn lại Stator máy phát điện số 1.</t>
  </si>
  <si>
    <t>Củ phát treo: Tháo tách củ phát chuyển lên xưởng. Tháo tách chi tiết, thay thế chi tiết hỏng; Vệ sinh, bảo dưỡng, tẩm sấy stato động cơ điện theo qui trình. Lắp ráp hoàn chỉnh, chạy thử không tải, đấu lắp nghiệm thu hoạt động tại tàu.</t>
  </si>
  <si>
    <t>Con lươn chống va xung quanh tàu</t>
  </si>
  <si>
    <t>Cắt hàn thay mới tấm bọc con lươn sau lái bằng nhôm 5083 H116, dày 6ly. KT: 400x300x1 tấm</t>
  </si>
  <si>
    <t>Cắt hàn ốp con lươn bên phải khoang máy chính, buồng ngủ mũi, khoang mũi bằng nhôm 5083 H116 dày 6ly. KT: 400x300x3 tấm</t>
  </si>
  <si>
    <t>Nhôm tấm</t>
  </si>
  <si>
    <t>6mm</t>
  </si>
  <si>
    <t xml:space="preserve">Đá cắt </t>
  </si>
  <si>
    <t>Cửa kho mini sau cabin 630x630mm</t>
  </si>
  <si>
    <t>Tháo, thay mới 5m gioăng cao su. KT: 30x20mm</t>
  </si>
  <si>
    <t>Gioăng cao su đúc</t>
  </si>
  <si>
    <t>30x20</t>
  </si>
  <si>
    <t>Cửa buồng ắc quy 2 bên mạn cabin 630x520mm</t>
  </si>
  <si>
    <t>Cột lan can hai bên mạn phía sau lái</t>
  </si>
  <si>
    <t>Cắt hàn sửa chữa lan can sau lái 2 bên mạn bằng ống nhôm Ø38. Dài 0.6mx2 cây</t>
  </si>
  <si>
    <t>Ống</t>
  </si>
  <si>
    <t xml:space="preserve">Ống nhôm </t>
  </si>
  <si>
    <t>Φ38x3</t>
  </si>
  <si>
    <t>Bát đỡ đèn pha trên nóc cabin</t>
  </si>
  <si>
    <t>Cắt hàn thay mới bát đỡ đèn pha trên nóc cabin bằng nhôm 5ly. KT: 700x30mmx4 cây</t>
  </si>
  <si>
    <t xml:space="preserve">Lan can trước cabin </t>
  </si>
  <si>
    <t>Cắt hàn nắn sửa 5m lan can ống nhôm Ø38 phía trước cabin</t>
  </si>
  <si>
    <t>Thay mới một bát móc treo xích bằng nhôm 5ly. KT: 50x45mm</t>
  </si>
  <si>
    <t xml:space="preserve">Nhôm tấm </t>
  </si>
  <si>
    <t>6202 RS</t>
  </si>
  <si>
    <t xml:space="preserve">Hóa chất AT 5400 </t>
  </si>
  <si>
    <t>AT-5400</t>
  </si>
  <si>
    <t>6206 Z</t>
  </si>
  <si>
    <t>6205 Z</t>
  </si>
  <si>
    <t>6204 RS</t>
  </si>
  <si>
    <t>6203 2Z</t>
  </si>
  <si>
    <t>6205 2Z</t>
  </si>
  <si>
    <t>Dung dịch tẩy rửa</t>
  </si>
  <si>
    <t>Cộng</t>
  </si>
  <si>
    <t>ĐMHQuân trang 17. Tính 60%</t>
  </si>
  <si>
    <t>Tính 2 công</t>
  </si>
  <si>
    <t>Tính 3 công</t>
  </si>
  <si>
    <t>ĐMHQ trang 151</t>
  </si>
  <si>
    <t>ĐMHQ trang 151 Tính 50% ĐM</t>
  </si>
  <si>
    <t>ĐMHQ trang 149 Tính 50% ĐM</t>
  </si>
  <si>
    <t>Theo thực tế</t>
  </si>
  <si>
    <t>ĐMHQ trang 169</t>
  </si>
  <si>
    <t>Theo ĐM Hải quân trang 21</t>
  </si>
  <si>
    <t>Hợp đồng thiếu cát</t>
  </si>
  <si>
    <t>Chủ tàu cấp</t>
  </si>
  <si>
    <t>Tạm tính</t>
  </si>
  <si>
    <r>
      <rPr>
        <b/>
        <sz val="11"/>
        <rFont val="Times New Roman"/>
        <family val="1"/>
      </rPr>
      <t xml:space="preserve">Sinh hàn khí nạp Φt180x650  (vỏ thép, ruột đồng): </t>
    </r>
    <r>
      <rPr>
        <sz val="11"/>
        <rFont val="Times New Roman"/>
        <family val="1"/>
      </rPr>
      <t>Tháo phục vụ, kiểm tra thay gioăng đệm kín, thử kín khí với áp suất 1 kG/cm2 trước khi lắp xuống tàu</t>
    </r>
  </si>
  <si>
    <r>
      <rPr>
        <b/>
        <sz val="11"/>
        <rFont val="Times New Roman"/>
        <family val="1"/>
      </rPr>
      <t xml:space="preserve">Bơm lắc tay dầu nhờn mạn trái: </t>
    </r>
    <r>
      <rPr>
        <sz val="11"/>
        <rFont val="Times New Roman"/>
        <family val="1"/>
      </rPr>
      <t>Vệ sinh, hiệu chỉnh sử dụng lại</t>
    </r>
  </si>
  <si>
    <r>
      <rPr>
        <b/>
        <sz val="11"/>
        <rFont val="Times New Roman"/>
        <family val="1"/>
      </rPr>
      <t xml:space="preserve">Bơm nước ngọt sinh hoạt kèm bình áp lực: </t>
    </r>
    <r>
      <rPr>
        <sz val="11"/>
        <rFont val="Times New Roman"/>
        <family val="1"/>
      </rPr>
      <t>Bơm piston; 0,37kW/380V/50Hz; Q=2m3/h; H=4bar. Bình áp lực dung tích 200 lít: Lắp bổ sung 01 Máy bơm nước tự động điện áp 1 pha 220V; Q = 2m3/h; H = 30m. Gia công giá đỡ, đi lại đường ống vào, ra theo bơm.</t>
    </r>
  </si>
  <si>
    <r>
      <rPr>
        <b/>
        <sz val="11"/>
        <rFont val="Times New Roman"/>
        <family val="1"/>
      </rPr>
      <t xml:space="preserve">Bơm cứu hỏa 11 kW : </t>
    </r>
    <r>
      <rPr>
        <sz val="11"/>
        <rFont val="Times New Roman"/>
        <family val="1"/>
      </rPr>
      <t>Vệ sinh, bảo dưỡng, lắp ráp sử dụng lại</t>
    </r>
  </si>
  <si>
    <r>
      <rPr>
        <b/>
        <sz val="11"/>
        <rFont val="Times New Roman"/>
        <family val="1"/>
      </rPr>
      <t xml:space="preserve">Bơm nước thải 0,75 kW : </t>
    </r>
    <r>
      <rPr>
        <sz val="11"/>
        <rFont val="Times New Roman"/>
        <family val="1"/>
      </rPr>
      <t>Vệ sinh, bảo dưỡng, lắp ráp sử dụng lại</t>
    </r>
  </si>
  <si>
    <r>
      <t xml:space="preserve">Nắp đậy Φ95 x Φ83,5 x 50, 2 rãnh cao su </t>
    </r>
    <r>
      <rPr>
        <sz val="11"/>
        <rFont val="Symbol"/>
        <family val="1"/>
        <charset val="2"/>
      </rPr>
      <t>d</t>
    </r>
    <r>
      <rPr>
        <sz val="11"/>
        <rFont val="Times New Roman"/>
        <family val="1"/>
      </rPr>
      <t>3</t>
    </r>
  </si>
  <si>
    <r>
      <t xml:space="preserve">Nắp cấp nước Φ95 x Φ83,5 x 50, 2 rãnh cao su </t>
    </r>
    <r>
      <rPr>
        <sz val="11"/>
        <rFont val="Symbol"/>
        <family val="1"/>
        <charset val="2"/>
      </rPr>
      <t>d</t>
    </r>
    <r>
      <rPr>
        <sz val="11"/>
        <rFont val="Times New Roman"/>
        <family val="1"/>
      </rPr>
      <t>3, khoan lỗ Φ22, ống thép Φ 21 x 150</t>
    </r>
  </si>
  <si>
    <t>Quy cách thông số/
Model ký hiệu</t>
  </si>
  <si>
    <t>Đơn giá</t>
  </si>
  <si>
    <t>Thành tiền</t>
  </si>
  <si>
    <t>Lọc dầu nhờn máy chính</t>
  </si>
  <si>
    <t>15042940X</t>
  </si>
  <si>
    <t>Hãng Baudouin</t>
  </si>
  <si>
    <t>Lọc tinh nhiên liệu máy chính</t>
  </si>
  <si>
    <t>15050630F</t>
  </si>
  <si>
    <t>Lọc thô nhiên liệu máy chính</t>
  </si>
  <si>
    <t>16232582L</t>
  </si>
  <si>
    <t>Kẽm chống ăn mòn sinh hàn nước biển máy chính</t>
  </si>
  <si>
    <t>16202560D</t>
  </si>
  <si>
    <t>Kẽm chống ăn mòn sinh hàn máy chính</t>
  </si>
  <si>
    <t>15031230T</t>
  </si>
  <si>
    <t>Baudouin</t>
  </si>
  <si>
    <t>Bơm nước biển máy phụ 50kw</t>
  </si>
  <si>
    <t>GM57562</t>
  </si>
  <si>
    <t xml:space="preserve"> Baudouin </t>
  </si>
  <si>
    <t>CHI PHÍ NHÂN CÔNG THỰC HIỆN</t>
  </si>
  <si>
    <t>Thay mới 01 bộ kín nước cao su lò xo Φ25 (1 bộ)</t>
  </si>
  <si>
    <t>Gioăng cao su Φt174,3 x Φs 5,7: Thay mới (1 cái)</t>
  </si>
  <si>
    <t>Gioăng cao su Φt175 x Φs 4: Thay mới (3 cái)</t>
  </si>
  <si>
    <t>Gioăng cao su Φt84,6 x Φs 5,7: Thay mới (2 cái)</t>
  </si>
  <si>
    <t>Bích thép Φt180 x Φn225 x d30 x 4 lỗ Φ11 x Φc117: Gia công mới bằng thép (1 cái)</t>
  </si>
  <si>
    <t>Nắp bịt Φn115 x M13 x Φb95 x 45, 2 rãnh cao su Φ4: Gia công mới bằng thép
Thay 1 khớp nối nhanh khí nén Φ8 (1 cái)</t>
  </si>
  <si>
    <t>Chốt định trục Φ5 x 10: Gia công mới bằng thép (1 cái)</t>
  </si>
  <si>
    <t>Chốt cố định cánh Φ4 x 22 x Φ8: Gia công mới bằng thép (4 cái)</t>
  </si>
  <si>
    <t>Nỉ dạ kín trục 60x10x15: Thay mới (2 cái)</t>
  </si>
  <si>
    <t>Gioăng cao su Φt90 x Φs3  : Thay mới (1 cái)</t>
  </si>
  <si>
    <t>Gioăng cao su Φt21 x Φs4: Thay mới (1 cái)</t>
  </si>
  <si>
    <t>Van chặn sau lọc: cánh bướm 5K- 65A: Ghi nhận tình trạng, vệ sinh bảo dưỡng các chi tiết, lắp ráp sử dụng lại (1 cái)</t>
  </si>
  <si>
    <t>Bu lông bích van M20x150 + ê cu, đệm bằng, đệm vênh : Thay mới bằng thép mạ kẽm (4 bộ)</t>
  </si>
  <si>
    <t>Đèn pha 220V-1000W kèm tay điều khiển (PS-1KH-U55W-C). (1 cái)</t>
  </si>
  <si>
    <r>
      <t xml:space="preserve">Đường ống nước biển  ra vào sinh hàn điều hòa: </t>
    </r>
    <r>
      <rPr>
        <sz val="11"/>
        <color theme="1"/>
        <rFont val="Times New Roman"/>
        <family val="1"/>
      </rPr>
      <t>Ống Inox Φ48,3x3,68 = 4,5m: Ống Inox Φ60,33x3,91 = 1m, cút Inox Φ48 = 2 cái, cút Inox Φ48 = 2 cái, cắt sử dụng lại các bích đầu ống</t>
    </r>
  </si>
  <si>
    <r>
      <t xml:space="preserve">Đường ống thoát mạn bơm cứu hộ ngoài tàu: </t>
    </r>
    <r>
      <rPr>
        <sz val="11"/>
        <color theme="1"/>
        <rFont val="Times New Roman"/>
        <family val="1"/>
      </rPr>
      <t>Ống Inox Φ60,33x3,91 = 1m, cắt sử dụng lại các bích đầu ống</t>
    </r>
  </si>
  <si>
    <t>VẬT TƯ PHỤC VỤ SỬA CHỮA</t>
  </si>
  <si>
    <t xml:space="preserve">PHẦN MÁY </t>
  </si>
  <si>
    <t>Bu lông liên kết M20x50 (bộ x 1 cái): Thay mới: 16 bộ bu lông M20x50 + êcu, đệm bằng, đệm vênh (thép mạ kẽm)</t>
  </si>
  <si>
    <t>Máy thu thời tiết Navitex NCR-333 (1 bộ)</t>
  </si>
  <si>
    <t>Khối máy chính Navitex NCR-333 (1 máy)</t>
  </si>
  <si>
    <t>Máy in bản tin (1 máy)</t>
  </si>
  <si>
    <t>Phao SART 20 (1 phao)</t>
  </si>
  <si>
    <t>Phao EPIRS Tron 60S (1 phao)</t>
  </si>
  <si>
    <r>
      <t xml:space="preserve">Phần từ mớn nước có tải trở xuống </t>
    </r>
    <r>
      <rPr>
        <i/>
        <sz val="11"/>
        <rFont val="Times New Roman"/>
        <family val="1"/>
      </rPr>
      <t>(bao gồm cả vây giảm lắc), Làm sạch bề mặt bằng phun hạt - do lớp sơn bị bong tróc nhiều</t>
    </r>
  </si>
  <si>
    <r>
      <rPr>
        <b/>
        <sz val="11"/>
        <rFont val="Times New Roman"/>
        <family val="1"/>
      </rPr>
      <t>Phần Roto, Stato: L</t>
    </r>
    <r>
      <rPr>
        <sz val="11"/>
        <rFont val="Times New Roman"/>
        <family val="1"/>
      </rPr>
      <t>uộc khử tạp chất, tẩm sấy, Xử lý nâng cao điện trở cách điện bằng dung dịch tẩy rửa AT3200CD. Cẩu lại xuống tàu</t>
    </r>
  </si>
  <si>
    <r>
      <t xml:space="preserve">Hộp van thông biển </t>
    </r>
    <r>
      <rPr>
        <i/>
        <sz val="11"/>
        <color indexed="8"/>
        <rFont val="Times New Roman"/>
        <family val="1"/>
      </rPr>
      <t>( Hợp đồng chưa có)</t>
    </r>
  </si>
  <si>
    <r>
      <t xml:space="preserve">Máy biến áp sinh hoạt 380/220V-50kVA </t>
    </r>
    <r>
      <rPr>
        <i/>
        <sz val="11"/>
        <rFont val="Times New Roman"/>
        <family val="1"/>
      </rPr>
      <t>(HĐ chưa có vật tư)</t>
    </r>
  </si>
  <si>
    <t>Bộ sửa chữa bơm nước biển</t>
  </si>
  <si>
    <r>
      <t xml:space="preserve">Xích neo-tời neo: </t>
    </r>
    <r>
      <rPr>
        <sz val="12"/>
        <rFont val="Times New Roman"/>
        <family val="1"/>
      </rPr>
      <t>Tháo cụm xích neo, tời neo. Phun cát vệ sinh bề mặt, xong vệ sinh sơn 1 lớp chống rỉ, 1 lớp sơn màu, sơn màu các điển nối xích neo hoàn chỉnh.</t>
    </r>
  </si>
  <si>
    <r>
      <t xml:space="preserve">Đèn pha: </t>
    </r>
    <r>
      <rPr>
        <sz val="12"/>
        <rFont val="Times New Roman"/>
        <family val="1"/>
      </rPr>
      <t>Tháo chướng ngại điện. Tháo gia công, cắt hàn thay mới hộp bảo vệ đèn pha. Xong lắp ráp lại hoàn chỉnh.</t>
    </r>
  </si>
  <si>
    <r>
      <t xml:space="preserve">Phần hệ trục lái, bánh lái: </t>
    </r>
    <r>
      <rPr>
        <sz val="12"/>
        <rFont val="Times New Roman"/>
        <family val="1"/>
      </rPr>
      <t>Mài chà vệ sinh 02 bánh lái, trục lái.</t>
    </r>
  </si>
  <si>
    <r>
      <t xml:space="preserve">Ống khí xả máy phụ: </t>
    </r>
    <r>
      <rPr>
        <sz val="12"/>
        <rFont val="Times New Roman"/>
        <family val="1"/>
      </rPr>
      <t>Tháo lớp inox và lớp cách nhiệt bảo vệ. Thay bằng bông cách nhiệt và lớp Inox. DT: 0.5m²x2 ống</t>
    </r>
  </si>
  <si>
    <r>
      <t xml:space="preserve">Đường ống thoát mạn máy phụ: </t>
    </r>
    <r>
      <rPr>
        <sz val="12"/>
        <rFont val="Times New Roman"/>
        <family val="1"/>
      </rPr>
      <t>Tháo kiểm tra hàn đắp lại các mối hàn thử kín 5 bích đường ống thoát mạn máy phụ.</t>
    </r>
  </si>
  <si>
    <r>
      <t xml:space="preserve">Máy phát Kohler: </t>
    </r>
    <r>
      <rPr>
        <sz val="12"/>
        <rFont val="Times New Roman"/>
        <family val="1"/>
      </rPr>
      <t>Tháo tách máy phát chuyển lên xưởng. Tháo tách chi tiết, thay thế chi tiết hỏng; Vệ sinh, bảo dưỡng, tẩm sấy stato động cơ điện theo qui trình. Lắp ráp hoàn chỉnh, chạy thử không tải, đấu lắp nghiệm thu hoạt động tại tàu</t>
    </r>
  </si>
  <si>
    <r>
      <t xml:space="preserve">Động cơ quạt hút 380V/2,2Kw (02 cái): </t>
    </r>
    <r>
      <rPr>
        <sz val="12"/>
        <rFont val="Times New Roman"/>
        <family val="1"/>
      </rPr>
      <t>Thay mới vòng bi.</t>
    </r>
  </si>
  <si>
    <r>
      <t xml:space="preserve">Động cơ máy lái 2.2KW, 3pha (02 cái): </t>
    </r>
    <r>
      <rPr>
        <sz val="12"/>
        <rFont val="Times New Roman"/>
        <family val="1"/>
      </rPr>
      <t>Thay mới vòng bi.</t>
    </r>
  </si>
  <si>
    <r>
      <t xml:space="preserve">Động cơ bơm chuyển dầu đốt 380V/1,2Kw (02 cái): </t>
    </r>
    <r>
      <rPr>
        <sz val="12"/>
        <rFont val="Times New Roman"/>
        <family val="1"/>
      </rPr>
      <t>Thay mới vòng bi.</t>
    </r>
  </si>
  <si>
    <r>
      <t>Động cơ bơm nước biển làm mát điều hoà 380V/2,2Kw (02 cái):</t>
    </r>
    <r>
      <rPr>
        <sz val="12"/>
        <rFont val="Times New Roman"/>
        <family val="1"/>
      </rPr>
      <t xml:space="preserve"> Thay mới vòng bi.</t>
    </r>
  </si>
  <si>
    <r>
      <t xml:space="preserve">Động cơ bơm nước ngọt làm mát điều hoà 380V/2,2Kw (02 cái): </t>
    </r>
    <r>
      <rPr>
        <sz val="12"/>
        <rFont val="Times New Roman"/>
        <family val="1"/>
      </rPr>
      <t>Thay mới vòng bi.</t>
    </r>
  </si>
  <si>
    <t>ĐMHQ trang 112</t>
  </si>
  <si>
    <t>Theo hóa đơn thuê ngoài</t>
  </si>
  <si>
    <t>Giá theo HĐ</t>
  </si>
  <si>
    <t>ĐMHQ trang 122</t>
  </si>
  <si>
    <t>ĐMHQ trang 115</t>
  </si>
  <si>
    <t>ĐMHQ trang 152. Tính bằng 3 lần ĐM.</t>
  </si>
  <si>
    <t>Theo báo giá</t>
  </si>
  <si>
    <t>ĐMHQ trang 149. Tính 50% ĐM van</t>
  </si>
  <si>
    <t>ĐMHQ trang 152</t>
  </si>
  <si>
    <t>ĐMHQ trang 152. Tính 20% ĐM.</t>
  </si>
  <si>
    <t>Tính 50% giá HĐ</t>
  </si>
  <si>
    <t>ĐMHQ trang 149</t>
  </si>
  <si>
    <t>ĐMHQ trang 166</t>
  </si>
  <si>
    <t>ĐMHQ trang 169.</t>
  </si>
  <si>
    <t>ĐMHQ trang 166.</t>
  </si>
  <si>
    <t>125kw</t>
  </si>
  <si>
    <t>55kw</t>
  </si>
  <si>
    <t>Van thông biển máy chính trái KMT: Van cánh bướm 5K300A: Đúc mới gioăng cao su làm kín theo thân van bằng thép. Sử dụng lại cánh van bằng đồng. Thử kín van bằng nước áp lực 5kG/cm², sơn chống gỉ, sơn xanh, lắp ráp van hoàn thiện, kết hợp thử kín hộp van. (1 cái)</t>
  </si>
  <si>
    <t>Van thông biển máy chính phải KMT: Van cánh bướm 5K300A: Đúc mới gioăng cao su làm kín theo thân van bằng thép. Sử dụng lại cánh van bằng đồng. Thử kín van bằng nước áp lực 5kG/cm², sơn chống gỉ, sơn xanh, lắp ráp van hoàn thiện, kết hợp thử kín hộp van. (1 cái)</t>
  </si>
  <si>
    <t>Van thông biển mạn phải máy chính KMS: Van cánh bướm 5K300A: Đúc mới gioăng cao su làm kín theo thân van bằng thép. Sử dụng lại cánh van bằng đồng. Thử kín van bằng nước áp lực 5kG/cm², sơn chống gỉ, sơn xanh, lắp ráp van hoàn thiện, kết hợp thử kín hộp van. (1 cái)</t>
  </si>
  <si>
    <t>Van chặn trước và sau lọc thông biển, van chặn trên đường thông biển (03 máy chính): Van cánh bướm 5K200A: Vệ sinh, bảo dưỡng. Lắp ráp hoàn thiện. (6 cái)</t>
  </si>
  <si>
    <t>Lưới lọc Inox KT: Φ270xL430: Hàn lại tay xách và khung thân. Vệ sinh, bảo dưỡng lưới lọc. Lắp ráp hoàn thiện (4 cái)</t>
  </si>
  <si>
    <t>Bu lông M16x60 liên kết nắp kính + đường ống (24 bộ x 1 kính): Thay mới: 40 bộ bu lông M16x60 + êcu, đệm bằng, đệm vênh (thép mạ kẽm). (72 bộ)</t>
  </si>
  <si>
    <t>Van thông biển máy sự cố KMT: Van cánh bướm 5K200A: Đúc mới gioăng cao su làm kín theo thân van bằng thép. Sử dụng lại cánh van bằng đồng. Thử kín van bằng nước áp lực 5kG/cm², sơn chống gỉ, sơn xanh, lắp ráp van hoàn thiện, kết hợp thử kín hộp van. (1 cái)</t>
  </si>
  <si>
    <t>Van thông biển bơm cứu hộ KMT: Van cánh bướm 5K200A: Đúc mới gioăng cao su làm kín theo thân van bằng thép. Sử dụng lại cánh van bằng đồng. Thử kín van bằng nước áp lực 5kG/cm², sơn chống gỉ, sơn xanh, lắp ráp van hoàn thiện, kết hợp thử kín hộp van. (1 cái)</t>
  </si>
  <si>
    <t>Nắp chỉ báo: Gia công thay mới: 01 nắp chỉ báo KT: Φn100xΦc55x 2 lỗ Φ5xd2 (Inox SUS 304). (2 cái)</t>
  </si>
  <si>
    <t>Lưới lọc Inox KT: Φ220xL300: Hàn lại tay xách và khung thân. Vệ sinh, bảo dưỡng lưới lọc. Lắp ráp hoàn thiện (1 cái)</t>
  </si>
  <si>
    <t>CHI PHÍ NHÂN CÔNG THỰC HIỆN PHẦN PHÁT SINH</t>
  </si>
  <si>
    <r>
      <t xml:space="preserve">Phần từ mớn nước có tải trở xuống </t>
    </r>
    <r>
      <rPr>
        <i/>
        <sz val="12"/>
        <rFont val="Times New Roman"/>
        <family val="1"/>
      </rPr>
      <t>(bao gồm cả vậy giảm lắc)</t>
    </r>
  </si>
  <si>
    <r>
      <rPr>
        <b/>
        <sz val="12"/>
        <rFont val="Times New Roman"/>
        <family val="1"/>
      </rPr>
      <t xml:space="preserve">Phần Roto, Phần Stato: </t>
    </r>
    <r>
      <rPr>
        <sz val="12"/>
        <rFont val="Times New Roman"/>
        <family val="1"/>
      </rPr>
      <t xml:space="preserve">luộc khử tạp chất, Xử lý nâng cao điện trở cách điện bằng dung dịch tẩy rửa AT3200CD. Cẩu lại xuống tàu </t>
    </r>
  </si>
  <si>
    <r>
      <t xml:space="preserve">Hộp bảng điện bờ  KT: 300x500x200 x1,5mm </t>
    </r>
    <r>
      <rPr>
        <i/>
        <sz val="11"/>
        <rFont val="Times New Roman"/>
        <family val="1"/>
      </rPr>
      <t>(Trong HĐ có vật tư nhưng chưa có nhân công thay thế)</t>
    </r>
  </si>
  <si>
    <t>CHI PHÍ NHÂN CÔNG THỰC HIỆN PHẦN BỔ SUNG</t>
  </si>
  <si>
    <r>
      <t xml:space="preserve">- Tháo tách, vệ sinh tẩm sấy, thay vòng bi, lắp đặt hoàn chỉnh </t>
    </r>
    <r>
      <rPr>
        <i/>
        <sz val="12"/>
        <color theme="1"/>
        <rFont val="Times New Roman"/>
        <family val="1"/>
      </rPr>
      <t>(thợ 4/7)</t>
    </r>
  </si>
  <si>
    <r>
      <t>- Quấn lại Stator</t>
    </r>
    <r>
      <rPr>
        <i/>
        <sz val="12"/>
        <color theme="1"/>
        <rFont val="Times New Roman"/>
        <family val="1"/>
      </rPr>
      <t xml:space="preserve"> (thuê ngoài)</t>
    </r>
  </si>
  <si>
    <r>
      <t>- Đục xi măng trên mũ che ê cu chân vịt, tháo mũ che, tháo vành chắn rác, tháo ê cu chân vịt. Tháo chân vịt, Cạo rà côn, vệ sinh, đánh bóng. Lắp ráp lại toàn bộ; cân bằng tĩnh chân vịt.</t>
    </r>
    <r>
      <rPr>
        <i/>
        <sz val="12"/>
        <color theme="1"/>
        <rFont val="Times New Roman"/>
        <family val="1"/>
      </rPr>
      <t xml:space="preserve"> (thợ 4,5/7)</t>
    </r>
  </si>
  <si>
    <r>
      <t xml:space="preserve">- Tháo bu lông nối trục, đo độ gãy khúc, lệch tâm </t>
    </r>
    <r>
      <rPr>
        <i/>
        <sz val="12"/>
        <color theme="1"/>
        <rFont val="Times New Roman"/>
        <family val="1"/>
      </rPr>
      <t>(thợ 5/7)</t>
    </r>
  </si>
  <si>
    <r>
      <t xml:space="preserve">- Tháo rút trục ra ngoài, tháo rời các chi tiết, vệ sinh, kiểm tra, lập bảng số liệu, lắp ráp lại hoàn chỉnh. </t>
    </r>
    <r>
      <rPr>
        <i/>
        <sz val="12"/>
        <color theme="1"/>
        <rFont val="Times New Roman"/>
        <family val="1"/>
      </rPr>
      <t>(thợ 4,5/7)</t>
    </r>
  </si>
  <si>
    <r>
      <t xml:space="preserve">- Căn chỉnh đồng tâm trục. </t>
    </r>
    <r>
      <rPr>
        <i/>
        <sz val="12"/>
        <color theme="1"/>
        <rFont val="Times New Roman"/>
        <family val="1"/>
      </rPr>
      <t>(thợ 4/7)</t>
    </r>
  </si>
  <si>
    <r>
      <t xml:space="preserve">- Tháo mở séc tơ lái, ổ đỡ trên dưới, tháo bánh lái, gót lái, rút trục lái. </t>
    </r>
    <r>
      <rPr>
        <i/>
        <sz val="12"/>
        <color theme="1"/>
        <rFont val="Times New Roman"/>
        <family val="1"/>
      </rPr>
      <t>(thợ 4/7)</t>
    </r>
  </si>
  <si>
    <r>
      <t xml:space="preserve">- Vệ sinh, kiểm tra trục lái, ổ đỡ và lắp lại trục lái, bánh lái hoàn chỉnh.  </t>
    </r>
    <r>
      <rPr>
        <i/>
        <sz val="12"/>
        <color theme="1"/>
        <rFont val="Times New Roman"/>
        <family val="1"/>
      </rPr>
      <t>(thợ 4/7)</t>
    </r>
  </si>
  <si>
    <r>
      <t xml:space="preserve">- Vô dầu mỡ, lắp ráp lại toàn bộ, kiểm tra , thử nghiệm thu hoàn chỉnh.  </t>
    </r>
    <r>
      <rPr>
        <i/>
        <sz val="12"/>
        <color theme="1"/>
        <rFont val="Times New Roman"/>
        <family val="1"/>
      </rPr>
      <t>(thợ 4/7)</t>
    </r>
  </si>
  <si>
    <r>
      <t>- Tháo, vệ sinh, khảo sát các đầu cảm biến, thay mới cảm biến áp lực dầu hộp số</t>
    </r>
    <r>
      <rPr>
        <i/>
        <sz val="12"/>
        <color theme="1"/>
        <rFont val="Times New Roman"/>
        <family val="1"/>
      </rPr>
      <t xml:space="preserve"> (thợ 5/7)</t>
    </r>
  </si>
  <si>
    <r>
      <t>- Tháo bơm nước biển kiểm tra, thay phớt.</t>
    </r>
    <r>
      <rPr>
        <i/>
        <sz val="12"/>
        <color theme="1"/>
        <rFont val="Times New Roman"/>
        <family val="1"/>
      </rPr>
      <t xml:space="preserve"> (thợ 5/7)</t>
    </r>
  </si>
  <si>
    <r>
      <t xml:space="preserve">- Tháo rời và lắp hoàn chỉnh các bộ phận, đường ống, hệ thống điện đi vào máy, khung sàn la canh </t>
    </r>
    <r>
      <rPr>
        <i/>
        <sz val="12"/>
        <color theme="1"/>
        <rFont val="Times New Roman"/>
        <family val="1"/>
      </rPr>
      <t xml:space="preserve">(thợ 5/7) </t>
    </r>
  </si>
  <si>
    <r>
      <t xml:space="preserve">- Tháo các chướng ngại vật phía trên nắp máy </t>
    </r>
    <r>
      <rPr>
        <i/>
        <sz val="12"/>
        <color theme="1"/>
        <rFont val="Times New Roman"/>
        <family val="1"/>
      </rPr>
      <t xml:space="preserve">(thợ 4/7) </t>
    </r>
  </si>
  <si>
    <r>
      <t xml:space="preserve">- Rút piston cùng tay biên, mở bạc biên kẹp chì kiểm tra khe hở, vệ sinh tại tàu, đo kiểm tra các séc măng, lỗ dẫn dầu, kiểm tra khe hở bạc ắc piston, thay  mới chi tiết, vệ sinh xy lanh, đo, ráp piston lại, lập bảng số liệu </t>
    </r>
    <r>
      <rPr>
        <i/>
        <sz val="12"/>
        <color theme="1"/>
        <rFont val="Times New Roman"/>
        <family val="1"/>
      </rPr>
      <t>(thợ 5/7)</t>
    </r>
  </si>
  <si>
    <r>
      <t xml:space="preserve">Tháo lắp các ống chướng ngại, ống góp khí nạp, khí xả, bộ cảm biến. Tháo nắp xy lanh, vệ sinh bên ngoài tàu. Kiểm tra vết nứt, thay gioăng, nắp máy mới, lắp nắp máy xiết lại </t>
    </r>
    <r>
      <rPr>
        <i/>
        <sz val="12"/>
        <color theme="1"/>
        <rFont val="Times New Roman"/>
        <family val="1"/>
      </rPr>
      <t xml:space="preserve">(thợ 5/7) </t>
    </r>
  </si>
  <si>
    <r>
      <t xml:space="preserve">- Thay nước làm  mát động cơ </t>
    </r>
    <r>
      <rPr>
        <i/>
        <sz val="12"/>
        <color theme="1"/>
        <rFont val="Times New Roman"/>
        <family val="1"/>
      </rPr>
      <t>(thợ 4/7)</t>
    </r>
  </si>
  <si>
    <r>
      <t>- Tháo bơm nước biển kiểm tra, thay mới bơm nước biển.</t>
    </r>
    <r>
      <rPr>
        <i/>
        <sz val="12"/>
        <color theme="1"/>
        <rFont val="Times New Roman"/>
        <family val="1"/>
      </rPr>
      <t xml:space="preserve"> (thợ 5/7)</t>
    </r>
  </si>
  <si>
    <r>
      <t xml:space="preserve">- Vệ sinh, bảo dưỡng, thử áp lực kín nước  </t>
    </r>
    <r>
      <rPr>
        <i/>
        <sz val="12"/>
        <color theme="1"/>
        <rFont val="Times New Roman"/>
        <family val="1"/>
      </rPr>
      <t>(thợ 4/7)</t>
    </r>
  </si>
  <si>
    <r>
      <t xml:space="preserve">Đắp epoxy tại vị trí thủng </t>
    </r>
    <r>
      <rPr>
        <i/>
        <sz val="12"/>
        <color theme="1"/>
        <rFont val="Times New Roman"/>
        <family val="1"/>
      </rPr>
      <t>(thợ 4/7)</t>
    </r>
  </si>
  <si>
    <t>(Đính kèm Thư mời quan tâm ngày 23/7/2024)</t>
  </si>
  <si>
    <t xml:space="preserve">
Lõi lọc ly tâm dầu nhờn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</si>
</sst>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0_);[Red]\(&quot;$&quot;#,##0\)"/>
    <numFmt numFmtId="41" formatCode="_(* #,##0_);_(* \(#,##0\);_(* &quot;-&quot;_);_(@_)"/>
    <numFmt numFmtId="43" formatCode="_(* #,##0.00_);_(* \(#,##0.00\);_(* &quot;-&quot;??_);_(@_)"/>
    <numFmt numFmtId="164" formatCode="_-* #,##0.00\ _₫_-;\-* #,##0.00\ _₫_-;_-* &quot;-&quot;??\ _₫_-;_-@_-"/>
    <numFmt numFmtId="165" formatCode="#,##0.00;[Red]#,##0.00"/>
    <numFmt numFmtId="166" formatCode="#,##0;[Red]#,##0"/>
    <numFmt numFmtId="167" formatCode="_(* #,##0.0_);_(* \(#,##0.0\);_(* &quot;-&quot;&quot;?&quot;&quot;?&quot;_);_(@_)"/>
    <numFmt numFmtId="168" formatCode="#,##0.0"/>
    <numFmt numFmtId="169" formatCode="_(* #,##0_);_(* \(#,##0\);_(* &quot;-&quot;??_);_(@_)"/>
    <numFmt numFmtId="170" formatCode="_(* #,##0_);_(* \(#,##0\);_(* &quot;-&quot;&quot;?&quot;&quot;?&quot;_);_(@_)"/>
    <numFmt numFmtId="171" formatCode="_(* #,##0.00000000_);_(* \(#,##0.00000000\);_(* &quot;-&quot;??_);_(@_)"/>
    <numFmt numFmtId="172" formatCode="_(* #,##0.00_);_(* \(#,##0.00\);_(* &quot;-&quot;&quot;?&quot;&quot;?&quot;_);_(@_)"/>
    <numFmt numFmtId="173" formatCode="_-* #,##0_-;\-* #,##0_-;_-* &quot;-&quot;??_-;_-@_-"/>
    <numFmt numFmtId="174" formatCode="_-* #,##0.00\ _€_-;\-* #,##0.00\ _€_-;_-* &quot;-&quot;??\ _€_-;_-@_-"/>
    <numFmt numFmtId="175" formatCode="0.0"/>
    <numFmt numFmtId="176" formatCode="_(* #,##0.0_);_(* \(#,##0.0\);_(* &quot;-&quot;??_);_(@_)"/>
    <numFmt numFmtId="177" formatCode="_-* #,##0\ _₫_-;\-* #,##0\ _₫_-;_-* &quot;-&quot;??\ _₫_-;_-@_-"/>
    <numFmt numFmtId="178" formatCode="_-* #,##0_-;\-* #,##0_-;_-* &quot;-&quot;_-;_-@_-"/>
    <numFmt numFmtId="179" formatCode="0.000%"/>
    <numFmt numFmtId="180" formatCode="_-* #,##0.00_-;\-* #,##0.00_-;_-* &quot;-&quot;&quot;?&quot;&quot;?&quot;_-;_-@_-"/>
    <numFmt numFmtId="181" formatCode="\$#&quot;,&quot;##0\ ;\(\$#&quot;,&quot;##0\)"/>
    <numFmt numFmtId="182" formatCode="#,##0\ &quot;$&quot;_);[Red]\(#,##0\ &quot;$&quot;\)"/>
    <numFmt numFmtId="183" formatCode="&quot;$&quot;###,0&quot;.&quot;00_);[Red]\(&quot;$&quot;###,0&quot;.&quot;00\)"/>
    <numFmt numFmtId="184" formatCode="0.00_)"/>
    <numFmt numFmtId="185" formatCode="#,##0.00\ &quot;F&quot;;[Red]\-#,##0.00\ &quot;F&quot;"/>
    <numFmt numFmtId="186" formatCode="_-* #,##0\ &quot;F&quot;_-;\-* #,##0\ &quot;F&quot;_-;_-* &quot;-&quot;\ &quot;F&quot;_-;_-@_-"/>
    <numFmt numFmtId="187" formatCode="#,##0\ &quot;F&quot;;[Red]\-#,##0\ &quot;F&quot;"/>
    <numFmt numFmtId="188" formatCode="#,##0.00\ &quot;F&quot;;\-#,##0.00\ &quot;F&quot;"/>
    <numFmt numFmtId="189" formatCode="#,##0\ &quot;DM&quot;;\-#,##0\ &quot;DM&quot;"/>
    <numFmt numFmtId="190" formatCode="&quot;￥&quot;#,##0;&quot;￥&quot;\-#,##0"/>
    <numFmt numFmtId="191" formatCode="00.000"/>
    <numFmt numFmtId="192" formatCode="_-&quot;$&quot;* #,##0_-;\-&quot;$&quot;* #,##0_-;_-&quot;$&quot;* &quot;-&quot;_-;_-@_-"/>
    <numFmt numFmtId="193" formatCode="_-&quot;$&quot;* #,##0.00_-;\-&quot;$&quot;* #,##0.00_-;_-&quot;$&quot;* &quot;-&quot;&quot;?&quot;&quot;?&quot;_-;_-@_-"/>
    <numFmt numFmtId="194" formatCode="_(* #.##0.00_);_(* \(#.##0.00\);_(* &quot;-&quot;??_);_(@_)"/>
  </numFmts>
  <fonts count="101">
    <font>
      <sz val="11"/>
      <color theme="1"/>
      <name val="Calibri"/>
      <family val="2"/>
      <scheme val="minor"/>
    </font>
    <font>
      <sz val="11"/>
      <color theme="1"/>
      <name val="Calibri"/>
      <family val="2"/>
      <charset val="163"/>
      <scheme val="minor"/>
    </font>
    <font>
      <sz val="11"/>
      <color theme="1"/>
      <name val="Calibri"/>
      <family val="2"/>
      <scheme val="minor"/>
    </font>
    <font>
      <sz val="12"/>
      <color theme="1"/>
      <name val="Times New Roman"/>
      <family val="1"/>
    </font>
    <font>
      <b/>
      <sz val="12"/>
      <color theme="1"/>
      <name val="Times New Roman"/>
      <family val="1"/>
    </font>
    <font>
      <sz val="14"/>
      <color theme="1"/>
      <name val="Times New Roman"/>
      <family val="1"/>
    </font>
    <font>
      <b/>
      <sz val="14"/>
      <color theme="1"/>
      <name val="Times New Roman"/>
      <family val="1"/>
    </font>
    <font>
      <b/>
      <sz val="13"/>
      <name val="Times New Roman"/>
      <family val="1"/>
    </font>
    <font>
      <sz val="10"/>
      <name val="Arial"/>
      <family val="2"/>
    </font>
    <font>
      <sz val="12"/>
      <name val="Times New Roman"/>
      <family val="1"/>
    </font>
    <font>
      <i/>
      <sz val="13"/>
      <color theme="1"/>
      <name val="Times New Roman"/>
      <family val="1"/>
    </font>
    <font>
      <b/>
      <sz val="13"/>
      <color theme="1"/>
      <name val="Times New Roman"/>
      <family val="1"/>
    </font>
    <font>
      <sz val="13"/>
      <color theme="1"/>
      <name val="Times New Roman"/>
      <family val="1"/>
    </font>
    <font>
      <sz val="12"/>
      <color theme="1"/>
      <name val="Calibri"/>
      <family val="2"/>
      <scheme val="minor"/>
    </font>
    <font>
      <b/>
      <sz val="12"/>
      <name val="Times New Roman"/>
      <family val="1"/>
    </font>
    <font>
      <sz val="12"/>
      <name val="Symbol"/>
      <family val="1"/>
      <charset val="2"/>
    </font>
    <font>
      <sz val="14"/>
      <color indexed="8"/>
      <name val="Times New Roman"/>
      <family val="2"/>
    </font>
    <font>
      <b/>
      <sz val="12"/>
      <color theme="1"/>
      <name val="Times New Roman"/>
      <family val="2"/>
    </font>
    <font>
      <sz val="12"/>
      <color theme="1"/>
      <name val="Times New Roman"/>
      <family val="2"/>
    </font>
    <font>
      <b/>
      <sz val="11"/>
      <name val="Times New Roman"/>
      <family val="1"/>
    </font>
    <font>
      <sz val="11"/>
      <name val="Times New Roman"/>
      <family val="1"/>
    </font>
    <font>
      <b/>
      <sz val="11"/>
      <color theme="1"/>
      <name val="Times New Roman"/>
      <family val="1"/>
    </font>
    <font>
      <sz val="14"/>
      <name val="Times New Roman"/>
      <family val="1"/>
    </font>
    <font>
      <sz val="11"/>
      <color theme="1"/>
      <name val="Times New Roman"/>
      <family val="2"/>
    </font>
    <font>
      <sz val="13"/>
      <color theme="1"/>
      <name val="Times New Roman"/>
      <family val="2"/>
    </font>
    <font>
      <sz val="11"/>
      <color theme="1"/>
      <name val="Times New Roman"/>
      <family val="1"/>
    </font>
    <font>
      <sz val="14"/>
      <name val=".VnTime"/>
      <family val="2"/>
    </font>
    <font>
      <b/>
      <i/>
      <sz val="12"/>
      <name val="Times New Roman"/>
      <family val="1"/>
    </font>
    <font>
      <i/>
      <sz val="12"/>
      <name val="Times New Roman"/>
      <family val="1"/>
    </font>
    <font>
      <b/>
      <i/>
      <sz val="12"/>
      <color theme="1"/>
      <name val="Times New Roman"/>
      <family val="1"/>
    </font>
    <font>
      <i/>
      <sz val="12"/>
      <color theme="1"/>
      <name val="Times New Roman"/>
      <family val="1"/>
    </font>
    <font>
      <vertAlign val="superscript"/>
      <sz val="12"/>
      <name val="Times New Roman"/>
      <family val="1"/>
    </font>
    <font>
      <b/>
      <sz val="12"/>
      <name val="Times New Roman"/>
      <family val="1"/>
      <charset val="163"/>
    </font>
    <font>
      <sz val="12"/>
      <name val="VNtimes new roman"/>
      <family val="2"/>
    </font>
    <font>
      <sz val="12"/>
      <color theme="1"/>
      <name val="Times New Roman"/>
      <family val="1"/>
      <charset val="163"/>
    </font>
    <font>
      <sz val="12"/>
      <name val=".VnTime"/>
      <family val="2"/>
    </font>
    <font>
      <i/>
      <sz val="14"/>
      <name val="Times New Roman"/>
      <family val="1"/>
    </font>
    <font>
      <b/>
      <sz val="14"/>
      <name val="Times New Roman"/>
      <family val="1"/>
    </font>
    <font>
      <sz val="12"/>
      <name val="VNTime"/>
      <family val="2"/>
    </font>
    <font>
      <b/>
      <i/>
      <sz val="14"/>
      <name val="Times New Roman"/>
      <family val="1"/>
    </font>
    <font>
      <sz val="10"/>
      <name val="Arial"/>
      <family val="2"/>
      <charset val="163"/>
    </font>
    <font>
      <sz val="11"/>
      <name val=".VnTime"/>
      <family val="2"/>
    </font>
    <font>
      <b/>
      <sz val="12"/>
      <color theme="1"/>
      <name val="Calibri"/>
      <family val="2"/>
      <scheme val="minor"/>
    </font>
    <font>
      <b/>
      <sz val="18"/>
      <color theme="3"/>
      <name val="Calibri Light"/>
      <family val="2"/>
      <scheme val="major"/>
    </font>
    <font>
      <sz val="14"/>
      <color theme="1"/>
      <name val="Times New Roman"/>
      <family val="2"/>
    </font>
    <font>
      <sz val="13"/>
      <name val=".VnTime"/>
      <family val="2"/>
    </font>
    <font>
      <sz val="13"/>
      <name val="Times New Roman"/>
      <family val="1"/>
    </font>
    <font>
      <sz val="11"/>
      <name val=".VnArial"/>
      <family val="2"/>
    </font>
    <font>
      <b/>
      <sz val="12"/>
      <name val="Arial"/>
      <family val="2"/>
    </font>
    <font>
      <b/>
      <sz val="18"/>
      <name val="Arial"/>
      <family val="2"/>
    </font>
    <font>
      <sz val="10"/>
      <name val="MS Sans Serif"/>
      <family val="2"/>
    </font>
    <font>
      <sz val="12"/>
      <name val="Arial"/>
      <family val="2"/>
    </font>
    <font>
      <b/>
      <i/>
      <sz val="16"/>
      <name val="Helv"/>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name val="VNI-Times"/>
    </font>
    <font>
      <sz val="14"/>
      <color indexed="8"/>
      <name val="Times New Roman"/>
      <family val="1"/>
    </font>
    <font>
      <sz val="14"/>
      <color theme="0"/>
      <name val="Times New Roman"/>
      <family val="2"/>
    </font>
    <font>
      <sz val="14"/>
      <color rgb="FF9C0006"/>
      <name val="Times New Roman"/>
      <family val="2"/>
    </font>
    <font>
      <b/>
      <sz val="14"/>
      <color rgb="FFFA7D00"/>
      <name val="Times New Roman"/>
      <family val="2"/>
    </font>
    <font>
      <b/>
      <sz val="14"/>
      <color theme="0"/>
      <name val="Times New Roman"/>
      <family val="2"/>
    </font>
    <font>
      <i/>
      <sz val="14"/>
      <color rgb="FF7F7F7F"/>
      <name val="Times New Roman"/>
      <family val="2"/>
    </font>
    <font>
      <sz val="14"/>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4"/>
      <color rgb="FF3F3F76"/>
      <name val="Times New Roman"/>
      <family val="2"/>
    </font>
    <font>
      <sz val="14"/>
      <color rgb="FFFA7D00"/>
      <name val="Times New Roman"/>
      <family val="2"/>
    </font>
    <font>
      <sz val="14"/>
      <color rgb="FF9C6500"/>
      <name val="Times New Roman"/>
      <family val="2"/>
    </font>
    <font>
      <sz val="13"/>
      <color theme="1"/>
      <name val="VNI-Times"/>
      <family val="2"/>
    </font>
    <font>
      <b/>
      <sz val="14"/>
      <color rgb="FF3F3F3F"/>
      <name val="Times New Roman"/>
      <family val="2"/>
    </font>
    <font>
      <b/>
      <sz val="14"/>
      <color theme="1"/>
      <name val="Times New Roman"/>
      <family val="2"/>
    </font>
    <font>
      <sz val="14"/>
      <color rgb="FFFF0000"/>
      <name val="Times New Roman"/>
      <family val="2"/>
    </font>
    <font>
      <sz val="13"/>
      <color rgb="FF0000CC"/>
      <name val="Times New Roman"/>
      <family val="1"/>
    </font>
    <font>
      <b/>
      <sz val="10"/>
      <name val="Times New Roman"/>
      <family val="1"/>
    </font>
    <font>
      <sz val="10"/>
      <name val="Times New Roman"/>
      <family val="1"/>
    </font>
    <font>
      <b/>
      <sz val="11"/>
      <name val="Times New Roman"/>
      <family val="1"/>
      <charset val="163"/>
    </font>
    <font>
      <sz val="11"/>
      <name val="Times New Roman"/>
      <family val="1"/>
      <charset val="163"/>
    </font>
    <font>
      <sz val="11"/>
      <name val="Symbol"/>
      <family val="1"/>
      <charset val="2"/>
    </font>
    <font>
      <sz val="11"/>
      <name val="Calibri"/>
      <family val="2"/>
      <scheme val="minor"/>
    </font>
    <font>
      <sz val="10"/>
      <name val="Calibri"/>
      <family val="2"/>
      <scheme val="minor"/>
    </font>
    <font>
      <sz val="10"/>
      <name val="Times New Roman"/>
      <family val="1"/>
      <charset val="163"/>
    </font>
    <font>
      <sz val="11"/>
      <name val="Calibri"/>
      <family val="2"/>
      <charset val="163"/>
      <scheme val="minor"/>
    </font>
    <font>
      <b/>
      <i/>
      <sz val="11"/>
      <color theme="1"/>
      <name val="Times New Roman"/>
      <family val="1"/>
    </font>
    <font>
      <b/>
      <sz val="12"/>
      <color theme="1"/>
      <name val="Times New Roman"/>
      <family val="1"/>
      <charset val="163"/>
    </font>
    <font>
      <b/>
      <sz val="12"/>
      <color theme="1"/>
      <name val="Calibri"/>
      <family val="2"/>
      <charset val="163"/>
      <scheme val="minor"/>
    </font>
    <font>
      <sz val="12"/>
      <color theme="1"/>
      <name val="Calibri"/>
      <family val="2"/>
      <charset val="163"/>
      <scheme val="minor"/>
    </font>
    <font>
      <i/>
      <sz val="11"/>
      <name val="Times New Roman"/>
      <family val="1"/>
    </font>
    <font>
      <i/>
      <sz val="11"/>
      <color indexed="8"/>
      <name val="Times New Roman"/>
      <family val="1"/>
    </font>
    <font>
      <sz val="11"/>
      <color rgb="FF000000"/>
      <name val="Times New Roman"/>
      <family val="1"/>
    </font>
    <font>
      <sz val="12"/>
      <color rgb="FFFF0000"/>
      <name val="Times New Roman"/>
      <family val="1"/>
    </font>
    <font>
      <sz val="12"/>
      <name val="Times New Roman"/>
      <family val="1"/>
      <charset val="163"/>
    </font>
    <font>
      <i/>
      <sz val="12"/>
      <name val="Times New Roman"/>
      <family val="1"/>
      <charset val="163"/>
    </font>
    <font>
      <b/>
      <i/>
      <sz val="12"/>
      <name val="Times New Roman"/>
      <family val="1"/>
      <charset val="163"/>
    </font>
    <font>
      <sz val="12"/>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double">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83">
    <xf numFmtId="0" fontId="0" fillId="0" borderId="0"/>
    <xf numFmtId="164" fontId="2" fillId="0" borderId="0" applyFont="0" applyFill="0" applyBorder="0" applyAlignment="0" applyProtection="0"/>
    <xf numFmtId="0" fontId="8" fillId="0" borderId="0"/>
    <xf numFmtId="0" fontId="2" fillId="0" borderId="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0" fontId="26" fillId="0" borderId="0"/>
    <xf numFmtId="0" fontId="26" fillId="0" borderId="0">
      <alignment wrapText="1"/>
    </xf>
    <xf numFmtId="0" fontId="1" fillId="0" borderId="0"/>
    <xf numFmtId="0" fontId="33" fillId="0" borderId="0"/>
    <xf numFmtId="0" fontId="35" fillId="0" borderId="0"/>
    <xf numFmtId="0" fontId="2" fillId="0" borderId="0"/>
    <xf numFmtId="172" fontId="35" fillId="0" borderId="0" applyFont="0" applyFill="0" applyBorder="0" applyAlignment="0" applyProtection="0"/>
    <xf numFmtId="174" fontId="8" fillId="0" borderId="0" applyFont="0" applyFill="0" applyBorder="0" applyAlignment="0" applyProtection="0"/>
    <xf numFmtId="0" fontId="33" fillId="0" borderId="0"/>
    <xf numFmtId="43" fontId="35" fillId="0" borderId="0" applyFont="0" applyFill="0" applyBorder="0" applyAlignment="0" applyProtection="0"/>
    <xf numFmtId="0" fontId="38" fillId="0" borderId="0"/>
    <xf numFmtId="0" fontId="40" fillId="0" borderId="0"/>
    <xf numFmtId="0" fontId="41" fillId="0" borderId="0"/>
    <xf numFmtId="0" fontId="26"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8" fillId="0" borderId="0"/>
    <xf numFmtId="0" fontId="43" fillId="0" borderId="0" applyNumberFormat="0" applyFill="0" applyBorder="0" applyAlignment="0" applyProtection="0"/>
    <xf numFmtId="0" fontId="44" fillId="0" borderId="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21" borderId="0" applyNumberFormat="0" applyBorder="0" applyAlignment="0" applyProtection="0"/>
    <xf numFmtId="0" fontId="44" fillId="25"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31" borderId="0" applyNumberFormat="0" applyBorder="0" applyAlignment="0" applyProtection="0"/>
    <xf numFmtId="0" fontId="44" fillId="19" borderId="0" applyNumberFormat="0" applyBorder="0" applyAlignment="0" applyProtection="0"/>
    <xf numFmtId="0" fontId="44" fillId="22" borderId="0" applyNumberFormat="0" applyBorder="0" applyAlignment="0" applyProtection="0"/>
    <xf numFmtId="0" fontId="44" fillId="26" borderId="0" applyNumberFormat="0" applyBorder="0" applyAlignment="0" applyProtection="0"/>
    <xf numFmtId="0" fontId="63" fillId="13" borderId="0" applyNumberFormat="0" applyBorder="0" applyAlignment="0" applyProtection="0"/>
    <xf numFmtId="0" fontId="63" fillId="16"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63" fillId="23" borderId="0" applyNumberFormat="0" applyBorder="0" applyAlignment="0" applyProtection="0"/>
    <xf numFmtId="0" fontId="63" fillId="33" borderId="0" applyNumberFormat="0" applyBorder="0" applyAlignment="0" applyProtection="0"/>
    <xf numFmtId="0" fontId="63" fillId="11"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0" borderId="0" applyNumberFormat="0" applyBorder="0" applyAlignment="0" applyProtection="0"/>
    <xf numFmtId="0" fontId="63" fillId="24" borderId="0" applyNumberFormat="0" applyBorder="0" applyAlignment="0" applyProtection="0"/>
    <xf numFmtId="0" fontId="64" fillId="5" borderId="0" applyNumberFormat="0" applyBorder="0" applyAlignment="0" applyProtection="0"/>
    <xf numFmtId="0" fontId="65" fillId="8" borderId="17" applyNumberFormat="0" applyAlignment="0" applyProtection="0"/>
    <xf numFmtId="41" fontId="16" fillId="0" borderId="0" applyFont="0" applyFill="0" applyBorder="0" applyAlignment="0" applyProtection="0"/>
    <xf numFmtId="43" fontId="44"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5" fillId="0" borderId="0" applyFont="0" applyFill="0" applyBorder="0" applyAlignment="0" applyProtection="0"/>
    <xf numFmtId="194" fontId="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43" fontId="45" fillId="0" borderId="0" applyFont="0" applyFill="0" applyBorder="0" applyAlignment="0" applyProtection="0"/>
    <xf numFmtId="43" fontId="35" fillId="0" borderId="0" applyFont="0" applyFill="0" applyBorder="0" applyAlignment="0" applyProtection="0"/>
    <xf numFmtId="43" fontId="47"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43" fontId="44" fillId="0" borderId="0" applyFont="0" applyFill="0" applyBorder="0" applyAlignment="0" applyProtection="0"/>
    <xf numFmtId="172" fontId="35" fillId="0" borderId="0" applyFont="0" applyFill="0" applyBorder="0" applyAlignment="0" applyProtection="0"/>
    <xf numFmtId="3" fontId="8" fillId="0" borderId="0" applyFont="0" applyFill="0" applyBorder="0" applyAlignment="0" applyProtection="0"/>
    <xf numFmtId="181" fontId="8" fillId="0" borderId="0" applyFont="0" applyFill="0" applyBorder="0" applyAlignment="0" applyProtection="0"/>
    <xf numFmtId="0" fontId="66" fillId="9" borderId="20" applyNumberFormat="0" applyAlignment="0" applyProtection="0"/>
    <xf numFmtId="0" fontId="8" fillId="0" borderId="0" applyFont="0" applyFill="0" applyBorder="0" applyAlignment="0" applyProtection="0"/>
    <xf numFmtId="0" fontId="67" fillId="0" borderId="0" applyNumberFormat="0" applyFill="0" applyBorder="0" applyAlignment="0" applyProtection="0"/>
    <xf numFmtId="2" fontId="8" fillId="0" borderId="0" applyFont="0" applyFill="0" applyBorder="0" applyAlignment="0" applyProtection="0"/>
    <xf numFmtId="0" fontId="68" fillId="4" borderId="0" applyNumberFormat="0" applyBorder="0" applyAlignment="0" applyProtection="0"/>
    <xf numFmtId="0" fontId="48" fillId="0" borderId="23" applyNumberFormat="0" applyAlignment="0" applyProtection="0">
      <alignment horizontal="left" vertical="center"/>
    </xf>
    <xf numFmtId="0" fontId="48" fillId="0" borderId="9">
      <alignment horizontal="left" vertical="center"/>
    </xf>
    <xf numFmtId="0" fontId="69" fillId="0" borderId="14" applyNumberFormat="0" applyFill="0" applyAlignment="0" applyProtection="0"/>
    <xf numFmtId="0" fontId="49" fillId="0" borderId="0" applyNumberFormat="0" applyFill="0" applyBorder="0" applyAlignment="0" applyProtection="0"/>
    <xf numFmtId="0" fontId="70" fillId="0" borderId="15" applyNumberFormat="0" applyFill="0" applyAlignment="0" applyProtection="0"/>
    <xf numFmtId="0" fontId="48" fillId="0" borderId="0" applyNumberFormat="0" applyFill="0" applyBorder="0" applyAlignment="0" applyProtection="0"/>
    <xf numFmtId="0" fontId="71" fillId="0" borderId="16" applyNumberFormat="0" applyFill="0" applyAlignment="0" applyProtection="0"/>
    <xf numFmtId="0" fontId="71" fillId="0" borderId="0" applyNumberFormat="0" applyFill="0" applyBorder="0" applyAlignment="0" applyProtection="0"/>
    <xf numFmtId="0" fontId="72" fillId="7" borderId="17" applyNumberFormat="0" applyAlignment="0" applyProtection="0"/>
    <xf numFmtId="0" fontId="73" fillId="0" borderId="19" applyNumberFormat="0" applyFill="0" applyAlignment="0" applyProtection="0"/>
    <xf numFmtId="38" fontId="50" fillId="0" borderId="0" applyFont="0" applyFill="0" applyBorder="0" applyAlignment="0" applyProtection="0"/>
    <xf numFmtId="40" fontId="50" fillId="0" borderId="0" applyFont="0" applyFill="0" applyBorder="0" applyAlignment="0" applyProtection="0"/>
    <xf numFmtId="182" fontId="50" fillId="0" borderId="0" applyFont="0" applyFill="0" applyBorder="0" applyAlignment="0" applyProtection="0"/>
    <xf numFmtId="183" fontId="50" fillId="0" borderId="0" applyFont="0" applyFill="0" applyBorder="0" applyAlignment="0" applyProtection="0"/>
    <xf numFmtId="0" fontId="51" fillId="0" borderId="0" applyNumberFormat="0" applyFont="0" applyFill="0" applyAlignment="0"/>
    <xf numFmtId="0" fontId="74" fillId="6" borderId="0" applyNumberFormat="0" applyBorder="0" applyAlignment="0" applyProtection="0"/>
    <xf numFmtId="184" fontId="52" fillId="0" borderId="0"/>
    <xf numFmtId="0" fontId="35" fillId="0" borderId="0"/>
    <xf numFmtId="0" fontId="45" fillId="0" borderId="0"/>
    <xf numFmtId="0" fontId="75" fillId="0" borderId="0"/>
    <xf numFmtId="0" fontId="75" fillId="0" borderId="0"/>
    <xf numFmtId="0" fontId="75" fillId="0" borderId="0"/>
    <xf numFmtId="0" fontId="35" fillId="0" borderId="0"/>
    <xf numFmtId="0" fontId="35" fillId="0" borderId="0"/>
    <xf numFmtId="0" fontId="44" fillId="0" borderId="0"/>
    <xf numFmtId="0" fontId="35" fillId="0" borderId="0"/>
    <xf numFmtId="0" fontId="44" fillId="0" borderId="0"/>
    <xf numFmtId="0" fontId="35" fillId="0" borderId="0"/>
    <xf numFmtId="0" fontId="35" fillId="0" borderId="0"/>
    <xf numFmtId="0" fontId="44" fillId="0" borderId="0"/>
    <xf numFmtId="0" fontId="44" fillId="0" borderId="0"/>
    <xf numFmtId="0" fontId="8" fillId="0" borderId="0"/>
    <xf numFmtId="0" fontId="35" fillId="0" borderId="0"/>
    <xf numFmtId="0" fontId="35" fillId="0" borderId="0"/>
    <xf numFmtId="0" fontId="35" fillId="0" borderId="0"/>
    <xf numFmtId="0" fontId="8" fillId="0" borderId="0"/>
    <xf numFmtId="0" fontId="8" fillId="0" borderId="0"/>
    <xf numFmtId="0" fontId="35" fillId="0" borderId="0"/>
    <xf numFmtId="0" fontId="61" fillId="0" borderId="0"/>
    <xf numFmtId="0" fontId="26" fillId="0" borderId="0"/>
    <xf numFmtId="0" fontId="26" fillId="0" borderId="0"/>
    <xf numFmtId="0" fontId="2" fillId="0" borderId="0"/>
    <xf numFmtId="0" fontId="2" fillId="0" borderId="0"/>
    <xf numFmtId="0" fontId="45" fillId="0" borderId="0"/>
    <xf numFmtId="0" fontId="35" fillId="0" borderId="0"/>
    <xf numFmtId="0" fontId="23" fillId="0" borderId="0"/>
    <xf numFmtId="0" fontId="35" fillId="0" borderId="0"/>
    <xf numFmtId="0" fontId="44" fillId="0" borderId="0"/>
    <xf numFmtId="0" fontId="44" fillId="0" borderId="0"/>
    <xf numFmtId="0" fontId="44" fillId="0" borderId="0"/>
    <xf numFmtId="0" fontId="44" fillId="0" borderId="0"/>
    <xf numFmtId="0" fontId="35" fillId="0" borderId="0"/>
    <xf numFmtId="0" fontId="2" fillId="0" borderId="0"/>
    <xf numFmtId="0" fontId="62" fillId="0" borderId="0"/>
    <xf numFmtId="0" fontId="35" fillId="0" borderId="0"/>
    <xf numFmtId="0" fontId="35" fillId="0" borderId="0"/>
    <xf numFmtId="0" fontId="75" fillId="0" borderId="0"/>
    <xf numFmtId="0" fontId="35" fillId="0" borderId="0"/>
    <xf numFmtId="0" fontId="35" fillId="0" borderId="0"/>
    <xf numFmtId="0" fontId="35" fillId="0" borderId="0"/>
    <xf numFmtId="0" fontId="40" fillId="0" borderId="0"/>
    <xf numFmtId="0" fontId="75" fillId="0" borderId="0"/>
    <xf numFmtId="0" fontId="44" fillId="0" borderId="0"/>
    <xf numFmtId="0" fontId="8" fillId="0" borderId="0"/>
    <xf numFmtId="0" fontId="35" fillId="0" borderId="0"/>
    <xf numFmtId="0" fontId="44" fillId="0" borderId="0"/>
    <xf numFmtId="0" fontId="35" fillId="0" borderId="0"/>
    <xf numFmtId="0" fontId="16" fillId="10" borderId="21" applyNumberFormat="0" applyFont="0" applyAlignment="0" applyProtection="0"/>
    <xf numFmtId="0" fontId="16" fillId="10" borderId="21" applyNumberFormat="0" applyFont="0" applyAlignment="0" applyProtection="0"/>
    <xf numFmtId="0" fontId="76" fillId="8" borderId="18" applyNumberFormat="0" applyAlignment="0" applyProtection="0"/>
    <xf numFmtId="9" fontId="16" fillId="0" borderId="0" applyFont="0" applyFill="0" applyBorder="0" applyAlignment="0" applyProtection="0"/>
    <xf numFmtId="185" fontId="45" fillId="0" borderId="13">
      <alignment horizontal="right" vertical="center"/>
    </xf>
    <xf numFmtId="0" fontId="77" fillId="0" borderId="22" applyNumberFormat="0" applyFill="0" applyAlignment="0" applyProtection="0"/>
    <xf numFmtId="0" fontId="8" fillId="0" borderId="24" applyNumberFormat="0" applyFont="0" applyFill="0" applyAlignment="0" applyProtection="0"/>
    <xf numFmtId="186" fontId="45" fillId="0" borderId="13">
      <alignment horizontal="center"/>
    </xf>
    <xf numFmtId="187" fontId="45" fillId="0" borderId="0"/>
    <xf numFmtId="188" fontId="45" fillId="0" borderId="1"/>
    <xf numFmtId="0" fontId="78" fillId="0" borderId="0" applyNumberForma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9" fillId="0" borderId="0">
      <alignment vertical="center"/>
    </xf>
    <xf numFmtId="40" fontId="53" fillId="0" borderId="0" applyFont="0" applyFill="0" applyBorder="0" applyAlignment="0" applyProtection="0"/>
    <xf numFmtId="38" fontId="53"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9" fontId="54" fillId="0" borderId="0" applyFont="0" applyFill="0" applyBorder="0" applyAlignment="0" applyProtection="0"/>
    <xf numFmtId="0" fontId="55" fillId="0" borderId="0"/>
    <xf numFmtId="189" fontId="57" fillId="0" borderId="0" applyFont="0" applyFill="0" applyBorder="0" applyAlignment="0" applyProtection="0"/>
    <xf numFmtId="179" fontId="57" fillId="0" borderId="0" applyFont="0" applyFill="0" applyBorder="0" applyAlignment="0" applyProtection="0"/>
    <xf numFmtId="190" fontId="57" fillId="0" borderId="0" applyFont="0" applyFill="0" applyBorder="0" applyAlignment="0" applyProtection="0"/>
    <xf numFmtId="191" fontId="57" fillId="0" borderId="0" applyFont="0" applyFill="0" applyBorder="0" applyAlignment="0" applyProtection="0"/>
    <xf numFmtId="0" fontId="58" fillId="0" borderId="0"/>
    <xf numFmtId="0" fontId="51" fillId="0" borderId="0"/>
    <xf numFmtId="178" fontId="56" fillId="0" borderId="0" applyFont="0" applyFill="0" applyBorder="0" applyAlignment="0" applyProtection="0"/>
    <xf numFmtId="180" fontId="56" fillId="0" borderId="0" applyFont="0" applyFill="0" applyBorder="0" applyAlignment="0" applyProtection="0"/>
    <xf numFmtId="192" fontId="56" fillId="0" borderId="0" applyFont="0" applyFill="0" applyBorder="0" applyAlignment="0" applyProtection="0"/>
    <xf numFmtId="6" fontId="59" fillId="0" borderId="0" applyFont="0" applyFill="0" applyBorder="0" applyAlignment="0" applyProtection="0"/>
    <xf numFmtId="193" fontId="56" fillId="0" borderId="0" applyFont="0" applyFill="0" applyBorder="0" applyAlignment="0" applyProtection="0"/>
  </cellStyleXfs>
  <cellXfs count="857">
    <xf numFmtId="0" fontId="0" fillId="0" borderId="0" xfId="0"/>
    <xf numFmtId="0" fontId="3" fillId="0" borderId="0" xfId="0" applyFont="1"/>
    <xf numFmtId="0" fontId="0" fillId="0" borderId="0" xfId="0" applyFont="1"/>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3" fontId="14" fillId="2" borderId="2" xfId="0" applyNumberFormat="1" applyFont="1" applyFill="1" applyBorder="1" applyAlignment="1">
      <alignment horizontal="righ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3" fontId="9" fillId="2" borderId="2" xfId="0" applyNumberFormat="1" applyFont="1" applyFill="1" applyBorder="1" applyAlignment="1">
      <alignment horizontal="right" vertical="center" wrapText="1"/>
    </xf>
    <xf numFmtId="0" fontId="9" fillId="2" borderId="2" xfId="0" quotePrefix="1" applyFont="1" applyFill="1" applyBorder="1" applyAlignment="1">
      <alignment vertical="center" wrapText="1"/>
    </xf>
    <xf numFmtId="3" fontId="14"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0" fontId="14" fillId="2" borderId="2" xfId="0" quotePrefix="1" applyFont="1" applyFill="1" applyBorder="1" applyAlignment="1">
      <alignment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vertical="center" wrapText="1"/>
    </xf>
    <xf numFmtId="3" fontId="9" fillId="2" borderId="5" xfId="0" applyNumberFormat="1" applyFont="1" applyFill="1" applyBorder="1" applyAlignment="1">
      <alignment horizontal="right" vertical="center" wrapText="1"/>
    </xf>
    <xf numFmtId="169" fontId="17" fillId="0" borderId="1" xfId="4" applyNumberFormat="1" applyFont="1" applyFill="1" applyBorder="1" applyAlignment="1">
      <alignment horizontal="center" vertical="center" wrapText="1"/>
    </xf>
    <xf numFmtId="169" fontId="18" fillId="0" borderId="2" xfId="5" applyNumberFormat="1" applyFont="1" applyFill="1" applyBorder="1" applyAlignment="1">
      <alignment vertical="center" wrapText="1"/>
    </xf>
    <xf numFmtId="0" fontId="17" fillId="0" borderId="2" xfId="0" applyFont="1" applyFill="1" applyBorder="1" applyAlignment="1">
      <alignment horizontal="center" vertical="center" wrapText="1"/>
    </xf>
    <xf numFmtId="169" fontId="18" fillId="0" borderId="2" xfId="6" applyNumberFormat="1" applyFont="1" applyFill="1" applyBorder="1" applyAlignment="1">
      <alignment vertical="center" wrapText="1"/>
    </xf>
    <xf numFmtId="170" fontId="18" fillId="0" borderId="2" xfId="4" applyNumberFormat="1" applyFont="1" applyFill="1" applyBorder="1" applyAlignment="1">
      <alignment vertical="center"/>
    </xf>
    <xf numFmtId="169" fontId="18" fillId="0" borderId="2" xfId="4" applyNumberFormat="1" applyFont="1" applyFill="1" applyBorder="1" applyAlignment="1">
      <alignment horizontal="center" vertical="center"/>
    </xf>
    <xf numFmtId="0" fontId="4" fillId="0" borderId="3" xfId="0" applyFont="1" applyFill="1" applyBorder="1" applyAlignment="1">
      <alignment horizontal="center" vertical="center" wrapText="1"/>
    </xf>
    <xf numFmtId="169" fontId="4" fillId="0" borderId="3" xfId="6" applyNumberFormat="1"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69" fontId="24" fillId="0" borderId="2" xfId="5" applyNumberFormat="1" applyFont="1" applyFill="1" applyBorder="1" applyAlignment="1">
      <alignment vertical="center" wrapText="1"/>
    </xf>
    <xf numFmtId="0" fontId="4" fillId="0" borderId="2" xfId="0" applyFont="1" applyFill="1" applyBorder="1" applyAlignment="1">
      <alignment horizontal="center" vertical="center" wrapText="1"/>
    </xf>
    <xf numFmtId="169" fontId="11" fillId="0" borderId="2" xfId="6" applyNumberFormat="1" applyFont="1" applyFill="1" applyBorder="1" applyAlignment="1">
      <alignment vertical="center" wrapText="1"/>
    </xf>
    <xf numFmtId="169" fontId="4" fillId="0" borderId="2" xfId="6" applyNumberFormat="1" applyFont="1" applyFill="1" applyBorder="1" applyAlignment="1">
      <alignment vertical="center" wrapText="1"/>
    </xf>
    <xf numFmtId="169" fontId="3" fillId="0" borderId="2" xfId="6" applyNumberFormat="1" applyFont="1" applyFill="1" applyBorder="1" applyAlignment="1">
      <alignment vertical="center" wrapText="1"/>
    </xf>
    <xf numFmtId="169" fontId="3" fillId="0" borderId="4" xfId="6" applyNumberFormat="1" applyFont="1" applyFill="1" applyBorder="1" applyAlignment="1">
      <alignment vertical="center" wrapText="1"/>
    </xf>
    <xf numFmtId="3" fontId="3" fillId="0" borderId="3" xfId="0" applyNumberFormat="1" applyFont="1" applyFill="1" applyBorder="1" applyAlignment="1">
      <alignment vertical="center" wrapText="1"/>
    </xf>
    <xf numFmtId="3" fontId="3" fillId="0" borderId="2" xfId="0" applyNumberFormat="1" applyFont="1" applyFill="1" applyBorder="1" applyAlignment="1">
      <alignment vertical="center" wrapText="1"/>
    </xf>
    <xf numFmtId="3" fontId="3" fillId="0" borderId="5" xfId="0" applyNumberFormat="1" applyFont="1" applyFill="1" applyBorder="1" applyAlignment="1">
      <alignment vertical="center" wrapText="1"/>
    </xf>
    <xf numFmtId="0" fontId="3" fillId="0" borderId="0" xfId="0" applyFont="1" applyFill="1"/>
    <xf numFmtId="0" fontId="0" fillId="0" borderId="0" xfId="0" applyFont="1" applyFill="1"/>
    <xf numFmtId="0" fontId="4" fillId="0" borderId="1" xfId="0" applyFont="1" applyFill="1" applyBorder="1" applyAlignment="1">
      <alignment horizontal="center" vertical="center" wrapText="1"/>
    </xf>
    <xf numFmtId="0" fontId="13" fillId="0" borderId="0" xfId="0" applyFont="1" applyFill="1"/>
    <xf numFmtId="0" fontId="17" fillId="0" borderId="1" xfId="0" applyFont="1" applyFill="1" applyBorder="1" applyAlignment="1">
      <alignment horizontal="center" vertical="center" wrapText="1"/>
    </xf>
    <xf numFmtId="169" fontId="18" fillId="0" borderId="6" xfId="5" applyNumberFormat="1" applyFont="1" applyFill="1" applyBorder="1" applyAlignment="1">
      <alignment vertical="center" wrapText="1"/>
    </xf>
    <xf numFmtId="169" fontId="18" fillId="0" borderId="6" xfId="4" applyNumberFormat="1" applyFont="1" applyFill="1" applyBorder="1" applyAlignment="1">
      <alignment horizontal="center" vertical="center"/>
    </xf>
    <xf numFmtId="169" fontId="18" fillId="0" borderId="2" xfId="4" applyNumberFormat="1" applyFont="1" applyFill="1" applyBorder="1"/>
    <xf numFmtId="169" fontId="24" fillId="0" borderId="4" xfId="4" applyNumberFormat="1" applyFont="1" applyFill="1" applyBorder="1" applyAlignment="1">
      <alignment horizontal="center" vertical="center"/>
    </xf>
    <xf numFmtId="169" fontId="18" fillId="0" borderId="1" xfId="6" applyNumberFormat="1" applyFont="1" applyFill="1" applyBorder="1" applyAlignment="1">
      <alignment vertical="center" wrapText="1"/>
    </xf>
    <xf numFmtId="169" fontId="18" fillId="0" borderId="1" xfId="4" applyNumberFormat="1" applyFont="1" applyFill="1" applyBorder="1" applyAlignment="1">
      <alignment horizontal="center" vertical="center"/>
    </xf>
    <xf numFmtId="169" fontId="17" fillId="0" borderId="1" xfId="5" applyNumberFormat="1" applyFont="1" applyFill="1" applyBorder="1" applyAlignment="1">
      <alignment vertical="center" wrapText="1"/>
    </xf>
    <xf numFmtId="169" fontId="18" fillId="0" borderId="1" xfId="5" applyNumberFormat="1" applyFont="1" applyFill="1" applyBorder="1" applyAlignment="1">
      <alignment vertical="center" wrapText="1"/>
    </xf>
    <xf numFmtId="0" fontId="18" fillId="0" borderId="1" xfId="0" applyFont="1" applyFill="1" applyBorder="1" applyAlignment="1">
      <alignment horizontal="justify" vertical="center" wrapText="1"/>
    </xf>
    <xf numFmtId="169" fontId="17" fillId="0" borderId="1" xfId="6" applyNumberFormat="1" applyFont="1" applyFill="1" applyBorder="1" applyAlignment="1">
      <alignment vertical="center" wrapText="1"/>
    </xf>
    <xf numFmtId="0" fontId="21" fillId="0" borderId="3" xfId="0" applyFont="1" applyFill="1" applyBorder="1" applyAlignment="1">
      <alignment horizontal="center" vertical="center" wrapText="1"/>
    </xf>
    <xf numFmtId="169" fontId="24" fillId="0" borderId="3" xfId="4" applyNumberFormat="1" applyFont="1" applyFill="1" applyBorder="1" applyAlignment="1">
      <alignment horizontal="center" vertical="center"/>
    </xf>
    <xf numFmtId="0" fontId="25" fillId="0" borderId="2" xfId="0" applyFont="1" applyFill="1" applyBorder="1" applyAlignment="1">
      <alignment horizontal="center" vertical="center" wrapText="1"/>
    </xf>
    <xf numFmtId="169" fontId="12" fillId="0" borderId="2" xfId="4" applyNumberFormat="1" applyFont="1" applyFill="1" applyBorder="1"/>
    <xf numFmtId="169" fontId="24" fillId="0" borderId="2" xfId="4" applyNumberFormat="1"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169" fontId="3" fillId="0" borderId="1" xfId="6" applyNumberFormat="1" applyFont="1" applyFill="1" applyBorder="1" applyAlignment="1">
      <alignment vertical="center" wrapText="1"/>
    </xf>
    <xf numFmtId="169" fontId="12" fillId="0" borderId="1" xfId="4" applyNumberFormat="1" applyFont="1" applyFill="1" applyBorder="1" applyAlignment="1">
      <alignment horizontal="center" vertical="center"/>
    </xf>
    <xf numFmtId="3" fontId="3" fillId="0" borderId="1" xfId="0" applyNumberFormat="1" applyFont="1" applyFill="1" applyBorder="1" applyAlignment="1">
      <alignment vertical="center" wrapText="1"/>
    </xf>
    <xf numFmtId="0" fontId="14" fillId="2" borderId="3" xfId="0" applyFont="1" applyFill="1" applyBorder="1" applyAlignment="1">
      <alignment horizontal="center" vertical="center" wrapText="1"/>
    </xf>
    <xf numFmtId="3" fontId="14" fillId="2" borderId="3" xfId="0" applyNumberFormat="1" applyFont="1" applyFill="1" applyBorder="1" applyAlignment="1">
      <alignment horizontal="right" vertical="center" wrapText="1"/>
    </xf>
    <xf numFmtId="0" fontId="9"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9" fillId="2" borderId="2" xfId="0" quotePrefix="1" applyFont="1" applyFill="1" applyBorder="1" applyAlignment="1">
      <alignment horizontal="left" vertical="center" wrapText="1"/>
    </xf>
    <xf numFmtId="0" fontId="9"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9" fillId="2" borderId="2" xfId="7" applyFont="1" applyFill="1" applyBorder="1" applyAlignment="1">
      <alignment horizontal="center" vertical="center" wrapText="1"/>
    </xf>
    <xf numFmtId="0" fontId="9" fillId="2" borderId="4" xfId="0" applyFont="1" applyFill="1" applyBorder="1" applyAlignment="1">
      <alignment horizontal="center" vertical="center" wrapText="1"/>
    </xf>
    <xf numFmtId="3" fontId="9" fillId="2" borderId="4" xfId="0" applyNumberFormat="1" applyFont="1" applyFill="1" applyBorder="1" applyAlignment="1">
      <alignment horizontal="right" vertical="center" wrapText="1"/>
    </xf>
    <xf numFmtId="0" fontId="1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right" vertical="center" wrapText="1"/>
    </xf>
    <xf numFmtId="0" fontId="3" fillId="2" borderId="2" xfId="0" applyFont="1" applyFill="1" applyBorder="1" applyAlignment="1">
      <alignment vertical="center" wrapText="1"/>
    </xf>
    <xf numFmtId="0" fontId="4" fillId="0" borderId="2" xfId="0" applyFont="1" applyFill="1" applyBorder="1" applyAlignment="1">
      <alignment vertical="center" wrapText="1"/>
    </xf>
    <xf numFmtId="0" fontId="3" fillId="2" borderId="2" xfId="7" applyFont="1" applyFill="1" applyBorder="1" applyAlignment="1">
      <alignment horizontal="center" vertical="center" wrapText="1"/>
    </xf>
    <xf numFmtId="3" fontId="4" fillId="0" borderId="3" xfId="0" applyNumberFormat="1" applyFont="1" applyFill="1" applyBorder="1" applyAlignment="1">
      <alignment horizontal="right" vertical="center" wrapText="1"/>
    </xf>
    <xf numFmtId="3" fontId="4" fillId="0" borderId="2" xfId="0" applyNumberFormat="1" applyFont="1" applyFill="1" applyBorder="1" applyAlignment="1">
      <alignment horizontal="right" vertical="center" wrapText="1"/>
    </xf>
    <xf numFmtId="3" fontId="3" fillId="0" borderId="2" xfId="0" applyNumberFormat="1" applyFont="1" applyFill="1" applyBorder="1" applyAlignment="1">
      <alignment horizontal="right" vertical="center" wrapText="1"/>
    </xf>
    <xf numFmtId="0" fontId="3" fillId="0" borderId="2" xfId="0" applyFont="1" applyFill="1" applyBorder="1" applyAlignment="1">
      <alignmen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vertical="center" wrapText="1"/>
    </xf>
    <xf numFmtId="0" fontId="3" fillId="0" borderId="2" xfId="0" quotePrefix="1" applyFont="1" applyFill="1" applyBorder="1" applyAlignment="1">
      <alignment horizontal="left"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1" fontId="3" fillId="0" borderId="2" xfId="0" applyNumberFormat="1" applyFont="1" applyFill="1" applyBorder="1" applyAlignment="1">
      <alignment horizontal="center" vertical="center" wrapText="1"/>
    </xf>
    <xf numFmtId="3" fontId="3" fillId="0" borderId="5" xfId="0" applyNumberFormat="1" applyFont="1" applyFill="1" applyBorder="1" applyAlignment="1">
      <alignment horizontal="right" vertical="center" wrapText="1"/>
    </xf>
    <xf numFmtId="0" fontId="28" fillId="2" borderId="2" xfId="0" applyFont="1" applyFill="1" applyBorder="1" applyAlignment="1">
      <alignment horizontal="center" vertical="center" wrapText="1"/>
    </xf>
    <xf numFmtId="3" fontId="28" fillId="2" borderId="2" xfId="0" applyNumberFormat="1" applyFont="1" applyFill="1" applyBorder="1" applyAlignment="1">
      <alignment horizontal="right" vertical="center" wrapText="1"/>
    </xf>
    <xf numFmtId="0" fontId="28" fillId="2" borderId="2" xfId="0" quotePrefix="1" applyFont="1" applyFill="1" applyBorder="1" applyAlignment="1">
      <alignment vertical="center" wrapText="1"/>
    </xf>
    <xf numFmtId="0" fontId="14" fillId="2" borderId="5" xfId="0" applyFont="1" applyFill="1" applyBorder="1" applyAlignment="1">
      <alignment horizontal="center" vertical="center" wrapText="1"/>
    </xf>
    <xf numFmtId="169" fontId="14" fillId="0" borderId="3" xfId="6" applyNumberFormat="1" applyFont="1" applyFill="1" applyBorder="1" applyAlignment="1">
      <alignment horizontal="center" vertical="center" wrapText="1"/>
    </xf>
    <xf numFmtId="169" fontId="14" fillId="0" borderId="2" xfId="6" applyNumberFormat="1" applyFont="1" applyFill="1" applyBorder="1" applyAlignment="1">
      <alignment horizontal="center" vertical="top" wrapText="1"/>
    </xf>
    <xf numFmtId="171" fontId="14" fillId="0" borderId="2" xfId="6" applyNumberFormat="1" applyFont="1" applyFill="1" applyBorder="1" applyAlignment="1">
      <alignment horizontal="center" vertical="center" wrapText="1"/>
    </xf>
    <xf numFmtId="169" fontId="9" fillId="0" borderId="2" xfId="6" applyNumberFormat="1" applyFont="1" applyFill="1" applyBorder="1" applyAlignment="1">
      <alignment horizontal="center" vertical="center" wrapText="1"/>
    </xf>
    <xf numFmtId="0" fontId="25" fillId="0" borderId="2" xfId="0" applyFont="1" applyFill="1" applyBorder="1" applyAlignment="1">
      <alignment vertical="center" wrapText="1"/>
    </xf>
    <xf numFmtId="0" fontId="21" fillId="0" borderId="2" xfId="0" applyFont="1" applyFill="1" applyBorder="1" applyAlignment="1">
      <alignment vertical="center" wrapText="1"/>
    </xf>
    <xf numFmtId="0" fontId="25" fillId="0" borderId="2" xfId="0" applyFont="1" applyFill="1" applyBorder="1" applyAlignment="1">
      <alignment horizontal="center" vertical="top" wrapText="1"/>
    </xf>
    <xf numFmtId="169" fontId="9" fillId="0" borderId="2" xfId="6" applyNumberFormat="1" applyFont="1" applyFill="1" applyBorder="1" applyAlignment="1">
      <alignment horizontal="center" vertical="top" wrapText="1"/>
    </xf>
    <xf numFmtId="0" fontId="19" fillId="0" borderId="2" xfId="0" applyFont="1" applyFill="1" applyBorder="1" applyAlignment="1">
      <alignment vertical="top" wrapText="1"/>
    </xf>
    <xf numFmtId="169" fontId="9" fillId="0" borderId="2" xfId="6" applyNumberFormat="1" applyFont="1" applyFill="1" applyBorder="1" applyAlignment="1">
      <alignment horizontal="right" vertical="top" wrapText="1"/>
    </xf>
    <xf numFmtId="0" fontId="20" fillId="0" borderId="2" xfId="0" applyFont="1" applyFill="1" applyBorder="1" applyAlignment="1" applyProtection="1">
      <alignment vertical="top" wrapText="1"/>
    </xf>
    <xf numFmtId="0" fontId="9" fillId="0" borderId="5" xfId="0" applyFont="1" applyFill="1" applyBorder="1" applyAlignment="1">
      <alignment horizontal="center" vertical="top" wrapText="1"/>
    </xf>
    <xf numFmtId="0" fontId="9" fillId="0" borderId="5" xfId="0" applyFont="1" applyFill="1" applyBorder="1" applyAlignment="1" applyProtection="1">
      <alignment vertical="top" wrapText="1"/>
    </xf>
    <xf numFmtId="0" fontId="9" fillId="0" borderId="5" xfId="0" applyFont="1" applyFill="1" applyBorder="1" applyAlignment="1" applyProtection="1">
      <alignment horizontal="center" vertical="top" wrapText="1"/>
    </xf>
    <xf numFmtId="167" fontId="9" fillId="0" borderId="5" xfId="0" applyNumberFormat="1" applyFont="1" applyFill="1" applyBorder="1" applyAlignment="1">
      <alignment horizontal="center" vertical="top" wrapText="1"/>
    </xf>
    <xf numFmtId="0" fontId="21" fillId="0" borderId="2"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17"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0" fontId="14" fillId="2" borderId="11"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49" fontId="27" fillId="2" borderId="2" xfId="0" applyNumberFormat="1" applyFont="1" applyFill="1" applyBorder="1" applyAlignment="1">
      <alignment horizontal="center" vertical="center" wrapText="1"/>
    </xf>
    <xf numFmtId="0" fontId="36" fillId="2" borderId="0"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39" fillId="2" borderId="0" xfId="0" applyFont="1" applyFill="1" applyBorder="1" applyAlignment="1">
      <alignment horizontal="center" vertical="center" wrapText="1"/>
    </xf>
    <xf numFmtId="41" fontId="9" fillId="2" borderId="2" xfId="4" quotePrefix="1" applyNumberFormat="1" applyFont="1" applyFill="1" applyBorder="1" applyAlignment="1">
      <alignment horizontal="center" vertical="center" wrapText="1"/>
    </xf>
    <xf numFmtId="41" fontId="14" fillId="2" borderId="2" xfId="4" quotePrefix="1" applyNumberFormat="1" applyFont="1" applyFill="1" applyBorder="1" applyAlignment="1">
      <alignment horizontal="center" vertical="center" wrapText="1"/>
    </xf>
    <xf numFmtId="0" fontId="37"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9" fillId="2" borderId="2" xfId="0" applyFont="1" applyFill="1" applyBorder="1" applyAlignment="1">
      <alignment horizontal="center" wrapText="1"/>
    </xf>
    <xf numFmtId="3" fontId="9" fillId="2" borderId="2" xfId="19"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67" fontId="28" fillId="2" borderId="2" xfId="0" applyNumberFormat="1" applyFont="1" applyFill="1" applyBorder="1" applyAlignment="1">
      <alignment horizontal="center" vertical="center" wrapText="1"/>
    </xf>
    <xf numFmtId="167" fontId="9" fillId="2" borderId="2" xfId="0" applyNumberFormat="1" applyFont="1" applyFill="1" applyBorder="1" applyAlignment="1">
      <alignment horizontal="center" vertical="center" wrapText="1"/>
    </xf>
    <xf numFmtId="41" fontId="27" fillId="2" borderId="2" xfId="4" applyNumberFormat="1" applyFont="1" applyFill="1" applyBorder="1" applyAlignment="1">
      <alignment horizontal="center" vertical="center" wrapText="1"/>
    </xf>
    <xf numFmtId="41" fontId="9" fillId="2" borderId="2" xfId="4" applyNumberFormat="1" applyFont="1" applyFill="1" applyBorder="1" applyAlignment="1">
      <alignment horizontal="center" vertical="center" wrapText="1"/>
    </xf>
    <xf numFmtId="0" fontId="22" fillId="2" borderId="0" xfId="0" applyFont="1" applyFill="1" applyAlignment="1">
      <alignment vertical="center"/>
    </xf>
    <xf numFmtId="0" fontId="14" fillId="2" borderId="3" xfId="0" applyFont="1" applyFill="1" applyBorder="1" applyAlignment="1">
      <alignment horizontal="center" wrapText="1"/>
    </xf>
    <xf numFmtId="0" fontId="14" fillId="2" borderId="1" xfId="0" applyFont="1" applyFill="1" applyBorder="1" applyAlignment="1">
      <alignment vertical="center" wrapText="1"/>
    </xf>
    <xf numFmtId="49" fontId="9" fillId="2" borderId="1" xfId="0" applyNumberFormat="1" applyFont="1" applyFill="1" applyBorder="1" applyAlignment="1">
      <alignment horizontal="center" vertical="center"/>
    </xf>
    <xf numFmtId="0" fontId="0" fillId="0" borderId="0" xfId="0" applyFont="1" applyFill="1" applyAlignment="1">
      <alignment horizontal="right"/>
    </xf>
    <xf numFmtId="0" fontId="14" fillId="2" borderId="1" xfId="0" applyFont="1" applyFill="1" applyBorder="1" applyAlignment="1">
      <alignment horizontal="left" vertical="center" wrapText="1"/>
    </xf>
    <xf numFmtId="3" fontId="14" fillId="2" borderId="1" xfId="4" applyNumberFormat="1" applyFont="1" applyFill="1" applyBorder="1" applyAlignment="1">
      <alignment horizontal="center" vertical="center" wrapText="1"/>
    </xf>
    <xf numFmtId="3" fontId="14" fillId="2" borderId="1" xfId="4" applyNumberFormat="1" applyFont="1" applyFill="1" applyBorder="1" applyAlignment="1">
      <alignment horizontal="right" vertical="center" wrapText="1"/>
    </xf>
    <xf numFmtId="169" fontId="14" fillId="2" borderId="1" xfId="4"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left" vertical="center" wrapText="1"/>
    </xf>
    <xf numFmtId="0" fontId="9" fillId="2" borderId="6" xfId="0" applyNumberFormat="1" applyFont="1" applyFill="1" applyBorder="1" applyAlignment="1">
      <alignment horizontal="center" vertical="center" wrapText="1"/>
    </xf>
    <xf numFmtId="0" fontId="9" fillId="2" borderId="6" xfId="0" applyNumberFormat="1" applyFont="1" applyFill="1" applyBorder="1" applyAlignment="1">
      <alignment horizontal="left" vertical="center" wrapText="1"/>
    </xf>
    <xf numFmtId="3" fontId="9" fillId="2" borderId="6" xfId="4" applyNumberFormat="1" applyFont="1" applyFill="1" applyBorder="1" applyAlignment="1">
      <alignment horizontal="right" vertical="center" wrapText="1"/>
    </xf>
    <xf numFmtId="169" fontId="9" fillId="2" borderId="6" xfId="4"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5" xfId="0" applyNumberFormat="1" applyFont="1" applyFill="1" applyBorder="1" applyAlignment="1">
      <alignment horizontal="left" vertical="center" wrapText="1"/>
    </xf>
    <xf numFmtId="3" fontId="9" fillId="2" borderId="5" xfId="4" applyNumberFormat="1" applyFont="1" applyFill="1" applyBorder="1" applyAlignment="1">
      <alignment horizontal="right" vertical="center" wrapText="1"/>
    </xf>
    <xf numFmtId="169" fontId="14" fillId="2" borderId="5" xfId="4" applyNumberFormat="1" applyFont="1" applyFill="1" applyBorder="1" applyAlignment="1">
      <alignment horizontal="center" vertical="center" wrapText="1"/>
    </xf>
    <xf numFmtId="0" fontId="14" fillId="2" borderId="1" xfId="0" quotePrefix="1" applyFont="1" applyFill="1" applyBorder="1" applyAlignment="1">
      <alignment horizontal="justify" vertical="center" wrapText="1"/>
    </xf>
    <xf numFmtId="167" fontId="14" fillId="2" borderId="1" xfId="0" applyNumberFormat="1" applyFont="1" applyFill="1" applyBorder="1" applyAlignment="1">
      <alignment horizontal="center" vertical="center" wrapText="1"/>
    </xf>
    <xf numFmtId="0" fontId="14" fillId="2" borderId="6" xfId="0" applyNumberFormat="1" applyFont="1" applyFill="1" applyBorder="1" applyAlignment="1">
      <alignment horizontal="center" vertical="center" wrapText="1"/>
    </xf>
    <xf numFmtId="0" fontId="14" fillId="2" borderId="6" xfId="0" quotePrefix="1" applyFont="1" applyFill="1" applyBorder="1" applyAlignment="1">
      <alignment horizontal="justify" vertical="center" wrapText="1"/>
    </xf>
    <xf numFmtId="167" fontId="14" fillId="2" borderId="6" xfId="0" applyNumberFormat="1" applyFont="1" applyFill="1" applyBorder="1" applyAlignment="1">
      <alignment horizontal="center" vertical="center" wrapText="1"/>
    </xf>
    <xf numFmtId="3" fontId="14" fillId="2" borderId="6" xfId="4" applyNumberFormat="1" applyFont="1" applyFill="1" applyBorder="1" applyAlignment="1">
      <alignment horizontal="right" vertical="center" wrapText="1"/>
    </xf>
    <xf numFmtId="169" fontId="14" fillId="2" borderId="6" xfId="4"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3" xfId="0" quotePrefix="1" applyFont="1" applyFill="1" applyBorder="1" applyAlignment="1">
      <alignment vertical="center" wrapText="1"/>
    </xf>
    <xf numFmtId="3" fontId="9" fillId="2" borderId="3" xfId="4" applyNumberFormat="1" applyFont="1" applyFill="1" applyBorder="1" applyAlignment="1">
      <alignment horizontal="right" vertical="center" wrapText="1"/>
    </xf>
    <xf numFmtId="169" fontId="14" fillId="2" borderId="3" xfId="4"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left" vertical="center" wrapText="1"/>
    </xf>
    <xf numFmtId="3" fontId="9" fillId="2" borderId="2" xfId="4" applyNumberFormat="1" applyFont="1" applyFill="1" applyBorder="1" applyAlignment="1">
      <alignment horizontal="right" vertical="center" wrapText="1"/>
    </xf>
    <xf numFmtId="169" fontId="14" fillId="2" borderId="2" xfId="4"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3" fontId="14" fillId="2" borderId="2" xfId="0" applyNumberFormat="1" applyFont="1" applyFill="1" applyBorder="1" applyAlignment="1">
      <alignment horizontal="left" vertical="center" wrapText="1"/>
    </xf>
    <xf numFmtId="3" fontId="14" fillId="2" borderId="2" xfId="4"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167" fontId="9" fillId="2" borderId="3" xfId="0" applyNumberFormat="1" applyFont="1" applyFill="1" applyBorder="1" applyAlignment="1">
      <alignment horizontal="center" vertical="center" wrapText="1"/>
    </xf>
    <xf numFmtId="3" fontId="9" fillId="2" borderId="3" xfId="6" applyNumberFormat="1" applyFont="1" applyFill="1" applyBorder="1" applyAlignment="1">
      <alignment horizontal="right" vertical="center" wrapText="1"/>
    </xf>
    <xf numFmtId="169" fontId="9" fillId="2" borderId="3" xfId="4" applyNumberFormat="1" applyFont="1" applyFill="1" applyBorder="1" applyAlignment="1">
      <alignment horizontal="left" vertical="center" wrapText="1"/>
    </xf>
    <xf numFmtId="0" fontId="9" fillId="2" borderId="2" xfId="17" applyFont="1" applyFill="1" applyBorder="1" applyAlignment="1">
      <alignment horizontal="left" vertical="center"/>
    </xf>
    <xf numFmtId="3" fontId="9" fillId="2" borderId="2" xfId="6" applyNumberFormat="1" applyFont="1" applyFill="1" applyBorder="1" applyAlignment="1">
      <alignment horizontal="right" vertical="center" wrapText="1"/>
    </xf>
    <xf numFmtId="169" fontId="9" fillId="2" borderId="2" xfId="4" applyNumberFormat="1" applyFont="1" applyFill="1" applyBorder="1" applyAlignment="1">
      <alignment horizontal="left" vertical="center" wrapText="1"/>
    </xf>
    <xf numFmtId="3" fontId="9" fillId="2" borderId="2" xfId="0" applyNumberFormat="1" applyFont="1" applyFill="1" applyBorder="1" applyAlignment="1">
      <alignment vertical="center" wrapText="1"/>
    </xf>
    <xf numFmtId="3" fontId="9" fillId="2" borderId="4" xfId="0" applyNumberFormat="1" applyFont="1" applyFill="1" applyBorder="1" applyAlignment="1">
      <alignment vertical="center" wrapText="1"/>
    </xf>
    <xf numFmtId="3" fontId="9" fillId="2" borderId="4" xfId="0" applyNumberFormat="1" applyFont="1" applyFill="1" applyBorder="1" applyAlignment="1">
      <alignment horizontal="center" vertical="center" wrapText="1"/>
    </xf>
    <xf numFmtId="3" fontId="9" fillId="2" borderId="4" xfId="6" applyNumberFormat="1" applyFont="1" applyFill="1" applyBorder="1" applyAlignment="1">
      <alignment horizontal="right" vertical="center" wrapText="1"/>
    </xf>
    <xf numFmtId="169" fontId="9" fillId="2" borderId="4" xfId="4"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0" fontId="14" fillId="2" borderId="1" xfId="0" applyFont="1" applyFill="1" applyBorder="1" applyAlignment="1" applyProtection="1">
      <alignment horizontal="center" vertical="center" wrapText="1"/>
      <protection locked="0"/>
    </xf>
    <xf numFmtId="49" fontId="14" fillId="2" borderId="6" xfId="0" applyNumberFormat="1" applyFont="1" applyFill="1" applyBorder="1" applyAlignment="1">
      <alignment horizontal="left" vertical="center" wrapText="1"/>
    </xf>
    <xf numFmtId="0" fontId="14" fillId="2" borderId="6" xfId="0" applyFont="1" applyFill="1" applyBorder="1" applyAlignment="1" applyProtection="1">
      <alignment horizontal="center" vertical="center" wrapText="1"/>
      <protection locked="0"/>
    </xf>
    <xf numFmtId="0" fontId="14" fillId="2" borderId="11" xfId="0" applyNumberFormat="1" applyFont="1" applyFill="1" applyBorder="1" applyAlignment="1">
      <alignment horizontal="center" vertical="center" wrapText="1"/>
    </xf>
    <xf numFmtId="0" fontId="14" fillId="2" borderId="11" xfId="7" applyFont="1" applyFill="1" applyBorder="1" applyAlignment="1">
      <alignment vertical="center" wrapText="1"/>
    </xf>
    <xf numFmtId="0" fontId="14" fillId="2" borderId="11" xfId="7" applyFont="1" applyFill="1" applyBorder="1" applyAlignment="1">
      <alignment horizontal="center" vertical="center" wrapText="1"/>
    </xf>
    <xf numFmtId="3" fontId="14" fillId="2" borderId="11" xfId="4" applyNumberFormat="1" applyFont="1" applyFill="1" applyBorder="1" applyAlignment="1">
      <alignment horizontal="right" vertical="center" wrapText="1"/>
    </xf>
    <xf numFmtId="169" fontId="14" fillId="2" borderId="11" xfId="4"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4" xfId="0" quotePrefix="1" applyFont="1" applyFill="1" applyBorder="1" applyAlignment="1">
      <alignment vertical="center" wrapText="1"/>
    </xf>
    <xf numFmtId="0" fontId="9" fillId="2" borderId="4" xfId="0" applyFont="1" applyFill="1" applyBorder="1" applyAlignment="1" applyProtection="1">
      <alignment horizontal="center" vertical="center" wrapText="1"/>
      <protection locked="0"/>
    </xf>
    <xf numFmtId="3" fontId="9" fillId="2" borderId="4" xfId="6" applyNumberFormat="1" applyFont="1" applyFill="1" applyBorder="1" applyAlignment="1">
      <alignment horizontal="right" vertical="center"/>
    </xf>
    <xf numFmtId="49" fontId="14" fillId="2" borderId="2" xfId="0" applyNumberFormat="1" applyFont="1" applyFill="1" applyBorder="1" applyAlignment="1">
      <alignment horizontal="left" vertical="center" wrapText="1"/>
    </xf>
    <xf numFmtId="167" fontId="14" fillId="2" borderId="2" xfId="0" applyNumberFormat="1" applyFont="1" applyFill="1" applyBorder="1" applyAlignment="1">
      <alignment horizontal="center" vertical="center" wrapText="1"/>
    </xf>
    <xf numFmtId="3" fontId="14" fillId="2" borderId="2" xfId="6" applyNumberFormat="1" applyFont="1" applyFill="1" applyBorder="1" applyAlignment="1">
      <alignment horizontal="right" vertical="center" wrapText="1"/>
    </xf>
    <xf numFmtId="169" fontId="14" fillId="2" borderId="2" xfId="4" applyNumberFormat="1" applyFont="1" applyFill="1" applyBorder="1" applyAlignment="1">
      <alignment horizontal="left" vertical="center" wrapText="1"/>
    </xf>
    <xf numFmtId="0" fontId="27" fillId="2" borderId="2" xfId="0" quotePrefix="1" applyFont="1" applyFill="1" applyBorder="1" applyAlignment="1">
      <alignment vertical="center" wrapText="1"/>
    </xf>
    <xf numFmtId="0" fontId="28" fillId="2" borderId="2" xfId="0" applyFont="1" applyFill="1" applyBorder="1" applyAlignment="1" applyProtection="1">
      <alignment horizontal="center" vertical="center" wrapText="1"/>
      <protection locked="0"/>
    </xf>
    <xf numFmtId="3" fontId="28" fillId="2" borderId="2" xfId="6" applyNumberFormat="1" applyFont="1" applyFill="1" applyBorder="1" applyAlignment="1">
      <alignment horizontal="right" vertical="center"/>
    </xf>
    <xf numFmtId="169" fontId="28" fillId="2" borderId="2" xfId="4" applyNumberFormat="1" applyFont="1" applyFill="1" applyBorder="1" applyAlignment="1">
      <alignment horizontal="left" vertical="center" wrapText="1"/>
    </xf>
    <xf numFmtId="0" fontId="28" fillId="2" borderId="0" xfId="0"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3" fontId="9" fillId="2" borderId="2" xfId="6" applyNumberFormat="1" applyFont="1" applyFill="1" applyBorder="1" applyAlignment="1">
      <alignment horizontal="right" vertical="center"/>
    </xf>
    <xf numFmtId="0" fontId="27" fillId="2" borderId="2" xfId="0" applyFont="1" applyFill="1" applyBorder="1" applyAlignment="1">
      <alignment horizontal="left" vertical="center" wrapText="1"/>
    </xf>
    <xf numFmtId="167" fontId="28" fillId="2" borderId="2" xfId="4" applyNumberFormat="1" applyFont="1" applyFill="1" applyBorder="1" applyAlignment="1">
      <alignment horizontal="center" vertical="center" wrapText="1"/>
    </xf>
    <xf numFmtId="167" fontId="9" fillId="2" borderId="2" xfId="4" applyNumberFormat="1" applyFont="1" applyFill="1" applyBorder="1" applyAlignment="1">
      <alignment horizontal="center" vertical="center" wrapText="1"/>
    </xf>
    <xf numFmtId="166" fontId="9" fillId="2" borderId="2" xfId="0" applyNumberFormat="1" applyFont="1" applyFill="1" applyBorder="1" applyAlignment="1">
      <alignment horizontal="right" vertical="center" wrapText="1"/>
    </xf>
    <xf numFmtId="0" fontId="9" fillId="2" borderId="5" xfId="0" applyFont="1" applyFill="1" applyBorder="1" applyAlignment="1">
      <alignment horizontal="left" vertical="center" wrapText="1"/>
    </xf>
    <xf numFmtId="167" fontId="9" fillId="2" borderId="5" xfId="4" applyNumberFormat="1" applyFont="1" applyFill="1" applyBorder="1" applyAlignment="1">
      <alignment horizontal="center" vertical="center" wrapText="1"/>
    </xf>
    <xf numFmtId="3" fontId="9" fillId="2" borderId="5" xfId="6" applyNumberFormat="1" applyFont="1" applyFill="1" applyBorder="1" applyAlignment="1">
      <alignment horizontal="right" vertical="center"/>
    </xf>
    <xf numFmtId="169" fontId="9" fillId="2" borderId="5" xfId="4" applyNumberFormat="1"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49" fontId="9" fillId="2" borderId="4" xfId="0" applyNumberFormat="1" applyFont="1" applyFill="1" applyBorder="1" applyAlignment="1">
      <alignment horizontal="left" vertical="center" wrapText="1"/>
    </xf>
    <xf numFmtId="3" fontId="9" fillId="2" borderId="4" xfId="4" applyNumberFormat="1" applyFont="1" applyFill="1" applyBorder="1" applyAlignment="1">
      <alignment horizontal="right" vertical="center" wrapText="1"/>
    </xf>
    <xf numFmtId="169" fontId="14" fillId="2" borderId="4" xfId="4" applyNumberFormat="1"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176" fontId="14" fillId="2" borderId="2" xfId="5" applyNumberFormat="1" applyFont="1" applyFill="1" applyBorder="1" applyAlignment="1">
      <alignment horizontal="left" vertical="center" wrapText="1"/>
    </xf>
    <xf numFmtId="0" fontId="27" fillId="2" borderId="0" xfId="0" applyFont="1" applyFill="1" applyBorder="1" applyAlignment="1">
      <alignment horizontal="center" vertical="center" wrapText="1"/>
    </xf>
    <xf numFmtId="49" fontId="9" fillId="2" borderId="2" xfId="0" applyNumberFormat="1" applyFont="1" applyFill="1" applyBorder="1" applyAlignment="1">
      <alignment horizontal="left" vertical="center" wrapText="1"/>
    </xf>
    <xf numFmtId="3" fontId="9" fillId="2" borderId="2" xfId="4" applyNumberFormat="1" applyFont="1" applyFill="1" applyBorder="1" applyAlignment="1">
      <alignment horizontal="right" vertical="center"/>
    </xf>
    <xf numFmtId="3" fontId="9" fillId="2" borderId="3" xfId="0" applyNumberFormat="1" applyFont="1" applyFill="1" applyBorder="1" applyAlignment="1">
      <alignment horizontal="right" vertical="center" wrapText="1"/>
    </xf>
    <xf numFmtId="169" fontId="9" fillId="2" borderId="2" xfId="4" applyNumberFormat="1" applyFont="1" applyFill="1" applyBorder="1" applyAlignment="1">
      <alignment horizontal="center" vertical="center" wrapText="1"/>
    </xf>
    <xf numFmtId="176" fontId="9" fillId="2" borderId="2" xfId="5"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3" fontId="9" fillId="2" borderId="4" xfId="4" applyNumberFormat="1" applyFont="1" applyFill="1" applyBorder="1" applyAlignment="1">
      <alignment horizontal="right" vertical="center"/>
    </xf>
    <xf numFmtId="0" fontId="14" fillId="2" borderId="6" xfId="0" applyFont="1" applyFill="1" applyBorder="1" applyAlignment="1">
      <alignment vertical="center" wrapText="1"/>
    </xf>
    <xf numFmtId="167" fontId="9" fillId="2" borderId="4"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166" fontId="14" fillId="2" borderId="1" xfId="4" applyNumberFormat="1" applyFont="1" applyFill="1" applyBorder="1" applyAlignment="1">
      <alignment horizontal="right" vertical="center" wrapText="1"/>
    </xf>
    <xf numFmtId="0" fontId="14" fillId="2" borderId="0" xfId="0" applyFont="1" applyFill="1" applyAlignment="1">
      <alignment horizontal="center" vertical="center" wrapText="1"/>
    </xf>
    <xf numFmtId="0" fontId="14" fillId="2" borderId="11" xfId="0" applyFont="1" applyFill="1" applyBorder="1" applyAlignment="1">
      <alignment vertical="center" wrapText="1"/>
    </xf>
    <xf numFmtId="49" fontId="14" fillId="2" borderId="10" xfId="0" applyNumberFormat="1" applyFont="1" applyFill="1" applyBorder="1" applyAlignment="1">
      <alignment horizontal="center" vertical="center" wrapText="1"/>
    </xf>
    <xf numFmtId="3" fontId="14" fillId="2" borderId="10" xfId="4" applyNumberFormat="1" applyFont="1" applyFill="1" applyBorder="1" applyAlignment="1">
      <alignment horizontal="right" vertical="center" wrapText="1"/>
    </xf>
    <xf numFmtId="166" fontId="14" fillId="2" borderId="10" xfId="4" applyNumberFormat="1" applyFont="1" applyFill="1" applyBorder="1" applyAlignment="1">
      <alignment horizontal="right" vertical="center" wrapText="1"/>
    </xf>
    <xf numFmtId="166" fontId="14" fillId="2" borderId="2" xfId="4" applyNumberFormat="1" applyFont="1" applyFill="1" applyBorder="1" applyAlignment="1">
      <alignment horizontal="right" vertical="center" wrapText="1"/>
    </xf>
    <xf numFmtId="166" fontId="9" fillId="2" borderId="2" xfId="4" applyNumberFormat="1" applyFont="1" applyFill="1" applyBorder="1" applyAlignment="1">
      <alignment horizontal="right" vertical="center" wrapText="1"/>
    </xf>
    <xf numFmtId="0" fontId="9" fillId="2" borderId="4" xfId="0" applyFont="1" applyFill="1" applyBorder="1" applyAlignment="1">
      <alignment vertical="center" wrapText="1"/>
    </xf>
    <xf numFmtId="41" fontId="9" fillId="2" borderId="4" xfId="4" quotePrefix="1" applyNumberFormat="1" applyFont="1" applyFill="1" applyBorder="1" applyAlignment="1">
      <alignment horizontal="center" vertical="center" wrapText="1"/>
    </xf>
    <xf numFmtId="166" fontId="9" fillId="2" borderId="4" xfId="4" applyNumberFormat="1" applyFont="1" applyFill="1" applyBorder="1" applyAlignment="1">
      <alignment horizontal="right" vertical="center" wrapText="1"/>
    </xf>
    <xf numFmtId="167" fontId="14" fillId="2" borderId="2" xfId="4" applyNumberFormat="1" applyFont="1" applyFill="1" applyBorder="1" applyAlignment="1">
      <alignment horizontal="center" vertical="center" wrapText="1"/>
    </xf>
    <xf numFmtId="3" fontId="14" fillId="2" borderId="2" xfId="5" applyNumberFormat="1" applyFont="1" applyFill="1" applyBorder="1" applyAlignment="1">
      <alignment horizontal="right" vertical="center" wrapText="1"/>
    </xf>
    <xf numFmtId="0" fontId="9" fillId="2" borderId="2" xfId="0" applyFont="1" applyFill="1" applyBorder="1" applyAlignment="1">
      <alignment wrapText="1"/>
    </xf>
    <xf numFmtId="0" fontId="9" fillId="2" borderId="2" xfId="0" applyFont="1" applyFill="1" applyBorder="1" applyAlignment="1">
      <alignment horizontal="center"/>
    </xf>
    <xf numFmtId="0" fontId="9" fillId="2" borderId="4" xfId="0" applyFont="1" applyFill="1" applyBorder="1" applyAlignment="1">
      <alignment horizontal="center" vertical="center"/>
    </xf>
    <xf numFmtId="0" fontId="14" fillId="2" borderId="3" xfId="0" applyNumberFormat="1" applyFont="1" applyFill="1" applyBorder="1" applyAlignment="1">
      <alignment horizontal="center" vertical="center" wrapText="1"/>
    </xf>
    <xf numFmtId="0" fontId="14" fillId="2" borderId="3" xfId="0" applyFont="1" applyFill="1" applyBorder="1" applyAlignment="1">
      <alignment vertical="center" wrapText="1"/>
    </xf>
    <xf numFmtId="3" fontId="14" fillId="2" borderId="3" xfId="4" applyNumberFormat="1" applyFont="1" applyFill="1" applyBorder="1" applyAlignment="1">
      <alignment horizontal="right" vertical="center" wrapText="1"/>
    </xf>
    <xf numFmtId="0" fontId="9" fillId="2" borderId="2" xfId="18" applyFont="1" applyFill="1" applyBorder="1" applyAlignment="1">
      <alignment vertical="center" wrapText="1"/>
    </xf>
    <xf numFmtId="0" fontId="9" fillId="2" borderId="2" xfId="18" applyFont="1" applyFill="1" applyBorder="1" applyAlignment="1">
      <alignment horizontal="center" vertical="center" wrapText="1"/>
    </xf>
    <xf numFmtId="1" fontId="9" fillId="2" borderId="2" xfId="18"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xf>
    <xf numFmtId="0" fontId="9" fillId="2" borderId="2" xfId="7" applyFont="1" applyFill="1" applyBorder="1" applyAlignment="1">
      <alignment vertical="center" wrapText="1"/>
    </xf>
    <xf numFmtId="1" fontId="9" fillId="2" borderId="2" xfId="7"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2" xfId="7" applyFont="1" applyFill="1" applyBorder="1" applyAlignment="1">
      <alignment vertical="center" wrapText="1"/>
    </xf>
    <xf numFmtId="3" fontId="3" fillId="2" borderId="2" xfId="4" applyNumberFormat="1" applyFont="1" applyFill="1" applyBorder="1" applyAlignment="1">
      <alignment horizontal="right" vertical="center" wrapText="1"/>
    </xf>
    <xf numFmtId="169" fontId="4" fillId="2" borderId="2" xfId="4" applyNumberFormat="1" applyFont="1" applyFill="1" applyBorder="1" applyAlignment="1">
      <alignment horizontal="center" vertical="center" wrapText="1"/>
    </xf>
    <xf numFmtId="167" fontId="14" fillId="2" borderId="3" xfId="0" applyNumberFormat="1" applyFont="1" applyFill="1" applyBorder="1" applyAlignment="1">
      <alignment horizontal="center" vertical="center" wrapText="1"/>
    </xf>
    <xf numFmtId="3" fontId="9" fillId="2" borderId="3" xfId="6" applyNumberFormat="1" applyFont="1" applyFill="1" applyBorder="1" applyAlignment="1">
      <alignment horizontal="right" vertical="center"/>
    </xf>
    <xf numFmtId="169" fontId="14" fillId="2" borderId="3" xfId="4" applyNumberFormat="1" applyFont="1" applyFill="1" applyBorder="1" applyAlignment="1">
      <alignment horizontal="left" vertical="center" wrapText="1"/>
    </xf>
    <xf numFmtId="175" fontId="9" fillId="2" borderId="2" xfId="7" applyNumberFormat="1" applyFont="1" applyFill="1" applyBorder="1" applyAlignment="1">
      <alignment horizontal="center" vertical="center" wrapText="1"/>
    </xf>
    <xf numFmtId="2" fontId="9" fillId="2" borderId="2" xfId="7" applyNumberFormat="1" applyFont="1" applyFill="1" applyBorder="1" applyAlignment="1">
      <alignment horizontal="center" vertical="center" wrapText="1"/>
    </xf>
    <xf numFmtId="3" fontId="9" fillId="2" borderId="2" xfId="19" applyNumberFormat="1" applyFont="1" applyFill="1" applyBorder="1" applyAlignment="1">
      <alignment horizontal="left" vertical="center" wrapText="1"/>
    </xf>
    <xf numFmtId="0" fontId="9" fillId="2" borderId="2" xfId="19" applyFont="1" applyFill="1" applyBorder="1" applyAlignment="1">
      <alignment horizontal="left" vertical="center" wrapText="1"/>
    </xf>
    <xf numFmtId="3" fontId="3" fillId="2" borderId="2" xfId="6" applyNumberFormat="1" applyFont="1" applyFill="1" applyBorder="1" applyAlignment="1">
      <alignment horizontal="right" vertical="center"/>
    </xf>
    <xf numFmtId="169" fontId="4" fillId="2" borderId="2" xfId="4" applyNumberFormat="1" applyFont="1" applyFill="1" applyBorder="1" applyAlignment="1">
      <alignment horizontal="left" vertical="center" wrapText="1"/>
    </xf>
    <xf numFmtId="0" fontId="4" fillId="2" borderId="0" xfId="0" applyFont="1" applyFill="1" applyBorder="1" applyAlignment="1">
      <alignment horizontal="center" vertical="center" wrapText="1"/>
    </xf>
    <xf numFmtId="169" fontId="27" fillId="2" borderId="2" xfId="4" applyNumberFormat="1" applyFont="1" applyFill="1" applyBorder="1" applyAlignment="1">
      <alignment horizontal="left" vertical="center" wrapText="1"/>
    </xf>
    <xf numFmtId="167" fontId="28" fillId="2" borderId="2" xfId="0" applyNumberFormat="1" applyFont="1" applyFill="1" applyBorder="1" applyAlignment="1">
      <alignment horizontal="center" vertical="center"/>
    </xf>
    <xf numFmtId="167" fontId="9" fillId="2" borderId="2" xfId="0" applyNumberFormat="1" applyFont="1" applyFill="1" applyBorder="1" applyAlignment="1">
      <alignment horizontal="center" vertical="center"/>
    </xf>
    <xf numFmtId="0" fontId="9" fillId="2" borderId="3" xfId="0" quotePrefix="1" applyFont="1" applyFill="1" applyBorder="1" applyAlignment="1">
      <alignment horizontal="left" vertical="center" wrapText="1"/>
    </xf>
    <xf numFmtId="0" fontId="9" fillId="2" borderId="3" xfId="0" applyFont="1" applyFill="1" applyBorder="1" applyAlignment="1">
      <alignment horizontal="center" vertical="center"/>
    </xf>
    <xf numFmtId="3" fontId="9" fillId="2" borderId="3" xfId="0" applyNumberFormat="1" applyFont="1" applyFill="1" applyBorder="1" applyAlignment="1">
      <alignment horizontal="right" vertical="center"/>
    </xf>
    <xf numFmtId="0" fontId="9" fillId="2" borderId="0" xfId="0" applyFont="1" applyFill="1" applyAlignment="1">
      <alignment vertical="center"/>
    </xf>
    <xf numFmtId="3" fontId="9" fillId="2" borderId="2" xfId="0" applyNumberFormat="1" applyFont="1" applyFill="1" applyBorder="1" applyAlignment="1">
      <alignment horizontal="right" vertical="center"/>
    </xf>
    <xf numFmtId="169" fontId="9" fillId="2" borderId="4" xfId="4" applyNumberFormat="1" applyFont="1" applyFill="1" applyBorder="1" applyAlignment="1">
      <alignment horizontal="center" vertical="center" wrapText="1"/>
    </xf>
    <xf numFmtId="166" fontId="9" fillId="2" borderId="3" xfId="4" applyNumberFormat="1" applyFont="1" applyFill="1" applyBorder="1" applyAlignment="1">
      <alignment vertical="center" wrapText="1"/>
    </xf>
    <xf numFmtId="3" fontId="9" fillId="2" borderId="3" xfId="4" applyNumberFormat="1" applyFont="1" applyFill="1" applyBorder="1" applyAlignment="1">
      <alignment vertical="center" wrapText="1"/>
    </xf>
    <xf numFmtId="166" fontId="9" fillId="2" borderId="2" xfId="4" applyNumberFormat="1" applyFont="1" applyFill="1" applyBorder="1" applyAlignment="1">
      <alignment vertical="center" wrapText="1"/>
    </xf>
    <xf numFmtId="3" fontId="9"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0" fontId="14" fillId="2" borderId="3" xfId="0" applyFont="1" applyFill="1" applyBorder="1" applyAlignment="1">
      <alignment wrapText="1"/>
    </xf>
    <xf numFmtId="0" fontId="14" fillId="2" borderId="3" xfId="0" applyFont="1" applyFill="1" applyBorder="1" applyAlignment="1">
      <alignment horizontal="center"/>
    </xf>
    <xf numFmtId="3" fontId="9" fillId="2" borderId="3" xfId="4" applyNumberFormat="1" applyFont="1" applyFill="1" applyBorder="1" applyAlignment="1">
      <alignment horizontal="right" vertical="center"/>
    </xf>
    <xf numFmtId="176" fontId="9" fillId="2" borderId="3" xfId="4" applyNumberFormat="1" applyFont="1" applyFill="1" applyBorder="1" applyAlignment="1">
      <alignment horizontal="left" vertical="center" wrapText="1"/>
    </xf>
    <xf numFmtId="176" fontId="9" fillId="2" borderId="2" xfId="5" applyNumberFormat="1" applyFont="1" applyFill="1" applyBorder="1" applyAlignment="1">
      <alignment horizontal="left" vertical="center" wrapText="1"/>
    </xf>
    <xf numFmtId="0" fontId="14" fillId="2" borderId="13" xfId="0" applyFont="1" applyFill="1" applyBorder="1" applyAlignment="1">
      <alignment horizontal="center" vertical="center" wrapText="1"/>
    </xf>
    <xf numFmtId="3" fontId="14" fillId="2" borderId="1" xfId="6" applyNumberFormat="1" applyFont="1" applyFill="1" applyBorder="1" applyAlignment="1">
      <alignment horizontal="right" vertical="center" wrapText="1"/>
    </xf>
    <xf numFmtId="169" fontId="14" fillId="2" borderId="1" xfId="4" applyNumberFormat="1" applyFont="1" applyFill="1" applyBorder="1" applyAlignment="1">
      <alignment horizontal="left" vertical="center" wrapText="1"/>
    </xf>
    <xf numFmtId="3" fontId="9" fillId="2" borderId="1" xfId="0" applyNumberFormat="1" applyFont="1" applyFill="1" applyBorder="1" applyAlignment="1">
      <alignment vertical="center" wrapText="1"/>
    </xf>
    <xf numFmtId="167" fontId="9"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9" fillId="2" borderId="1" xfId="6" applyNumberFormat="1" applyFont="1" applyFill="1" applyBorder="1" applyAlignment="1">
      <alignment horizontal="right" vertical="center" wrapText="1"/>
    </xf>
    <xf numFmtId="166" fontId="9" fillId="2" borderId="1" xfId="6" applyNumberFormat="1" applyFont="1" applyFill="1" applyBorder="1" applyAlignment="1">
      <alignment horizontal="right" vertical="center" wrapText="1"/>
    </xf>
    <xf numFmtId="3" fontId="9" fillId="2" borderId="0" xfId="0" applyNumberFormat="1" applyFont="1" applyFill="1" applyBorder="1" applyAlignment="1">
      <alignment horizontal="center" vertical="center" wrapText="1"/>
    </xf>
    <xf numFmtId="177" fontId="13" fillId="0" borderId="0" xfId="1" applyNumberFormat="1" applyFont="1" applyFill="1"/>
    <xf numFmtId="0" fontId="42" fillId="0" borderId="0" xfId="0" applyFont="1" applyFill="1"/>
    <xf numFmtId="177" fontId="42" fillId="0" borderId="0" xfId="1" applyNumberFormat="1" applyFont="1" applyFill="1"/>
    <xf numFmtId="3" fontId="7" fillId="2" borderId="28" xfId="4" applyNumberFormat="1" applyFont="1" applyFill="1" applyBorder="1" applyAlignment="1">
      <alignment horizontal="right" vertical="center" wrapText="1"/>
    </xf>
    <xf numFmtId="3" fontId="46" fillId="2" borderId="27" xfId="4" applyNumberFormat="1" applyFont="1" applyFill="1" applyBorder="1" applyAlignment="1">
      <alignment horizontal="right" vertical="center" wrapText="1"/>
    </xf>
    <xf numFmtId="3" fontId="46" fillId="2" borderId="26" xfId="24" applyNumberFormat="1" applyFont="1" applyFill="1" applyBorder="1" applyAlignment="1">
      <alignment horizontal="right" vertical="center"/>
    </xf>
    <xf numFmtId="3" fontId="46" fillId="2" borderId="26" xfId="24" applyNumberFormat="1" applyFont="1" applyFill="1" applyBorder="1" applyAlignment="1">
      <alignment vertical="center"/>
    </xf>
    <xf numFmtId="3" fontId="46" fillId="2" borderId="26" xfId="23" applyNumberFormat="1" applyFont="1" applyFill="1" applyBorder="1" applyAlignment="1">
      <alignment horizontal="right" vertical="center" wrapText="1"/>
    </xf>
    <xf numFmtId="3" fontId="46" fillId="2" borderId="26" xfId="26" applyNumberFormat="1" applyFont="1" applyFill="1" applyBorder="1" applyAlignment="1">
      <alignment horizontal="right" vertical="center" wrapText="1"/>
    </xf>
    <xf numFmtId="3" fontId="46" fillId="2" borderId="26" xfId="5" applyNumberFormat="1" applyFont="1" applyFill="1" applyBorder="1" applyAlignment="1">
      <alignment horizontal="right" vertical="center" wrapText="1"/>
    </xf>
    <xf numFmtId="3" fontId="46" fillId="2" borderId="26" xfId="4" applyNumberFormat="1" applyFont="1" applyFill="1" applyBorder="1" applyAlignment="1">
      <alignment horizontal="right" vertical="center" wrapText="1"/>
    </xf>
    <xf numFmtId="3" fontId="46" fillId="2" borderId="25" xfId="4" applyNumberFormat="1" applyFont="1" applyFill="1" applyBorder="1" applyAlignment="1">
      <alignment horizontal="right" vertical="center" wrapText="1"/>
    </xf>
    <xf numFmtId="0" fontId="44" fillId="0" borderId="0" xfId="26"/>
    <xf numFmtId="3" fontId="46" fillId="2" borderId="3" xfId="4" applyNumberFormat="1" applyFont="1" applyFill="1" applyBorder="1" applyAlignment="1">
      <alignment horizontal="right" vertical="center" wrapText="1"/>
    </xf>
    <xf numFmtId="3" fontId="7" fillId="2" borderId="1" xfId="4" applyNumberFormat="1" applyFont="1" applyFill="1" applyBorder="1" applyAlignment="1">
      <alignment horizontal="right" vertical="center" wrapText="1"/>
    </xf>
    <xf numFmtId="0" fontId="3" fillId="2" borderId="2" xfId="0" applyFont="1" applyFill="1" applyBorder="1" applyAlignment="1">
      <alignment horizontal="justify" vertical="center" wrapText="1"/>
    </xf>
    <xf numFmtId="3" fontId="7" fillId="2" borderId="1" xfId="0" applyNumberFormat="1" applyFont="1" applyFill="1" applyBorder="1" applyAlignment="1">
      <alignment horizontal="center" vertical="center" shrinkToFit="1"/>
    </xf>
    <xf numFmtId="3" fontId="7" fillId="2" borderId="1" xfId="0" applyNumberFormat="1" applyFont="1" applyFill="1" applyBorder="1" applyAlignment="1">
      <alignment vertical="center" shrinkToFit="1"/>
    </xf>
    <xf numFmtId="170" fontId="46" fillId="2" borderId="2" xfId="0" applyNumberFormat="1" applyFont="1" applyFill="1" applyBorder="1" applyAlignment="1">
      <alignment horizontal="right" vertical="center" wrapText="1"/>
    </xf>
    <xf numFmtId="3" fontId="46" fillId="2" borderId="1" xfId="0" applyNumberFormat="1" applyFont="1" applyFill="1" applyBorder="1" applyAlignment="1">
      <alignment vertical="center" wrapText="1"/>
    </xf>
    <xf numFmtId="3" fontId="7" fillId="2" borderId="1" xfId="0" applyNumberFormat="1" applyFont="1" applyFill="1" applyBorder="1" applyAlignment="1">
      <alignment vertical="center" wrapText="1"/>
    </xf>
    <xf numFmtId="169" fontId="46" fillId="2" borderId="2" xfId="6" applyNumberFormat="1" applyFont="1" applyFill="1" applyBorder="1"/>
    <xf numFmtId="169" fontId="46" fillId="2" borderId="2" xfId="6" applyNumberFormat="1" applyFont="1" applyFill="1" applyBorder="1" applyAlignment="1">
      <alignment horizontal="center"/>
    </xf>
    <xf numFmtId="169" fontId="79" fillId="2" borderId="2" xfId="6" applyNumberFormat="1" applyFont="1" applyFill="1" applyBorder="1"/>
    <xf numFmtId="170" fontId="79" fillId="2" borderId="2" xfId="0" applyNumberFormat="1" applyFont="1" applyFill="1" applyBorder="1" applyAlignment="1">
      <alignment horizontal="right" vertical="center" wrapText="1"/>
    </xf>
    <xf numFmtId="169" fontId="46" fillId="2" borderId="4" xfId="6" applyNumberFormat="1" applyFont="1" applyFill="1" applyBorder="1"/>
    <xf numFmtId="170" fontId="46" fillId="2" borderId="4" xfId="0" applyNumberFormat="1" applyFont="1" applyFill="1" applyBorder="1" applyAlignment="1">
      <alignment horizontal="right" vertical="center" wrapText="1"/>
    </xf>
    <xf numFmtId="3" fontId="46" fillId="2" borderId="1" xfId="0" applyNumberFormat="1" applyFont="1" applyFill="1" applyBorder="1" applyAlignment="1">
      <alignment vertical="center"/>
    </xf>
    <xf numFmtId="3" fontId="7" fillId="2" borderId="1" xfId="0" applyNumberFormat="1" applyFont="1" applyFill="1" applyBorder="1" applyAlignment="1">
      <alignment vertical="center"/>
    </xf>
    <xf numFmtId="169" fontId="0" fillId="0" borderId="0" xfId="0" applyNumberFormat="1" applyFont="1" applyFill="1"/>
    <xf numFmtId="177" fontId="0" fillId="0" borderId="0" xfId="1" applyNumberFormat="1" applyFont="1" applyFill="1"/>
    <xf numFmtId="0" fontId="0" fillId="0" borderId="0" xfId="0" applyFont="1" applyAlignment="1">
      <alignment vertical="center"/>
    </xf>
    <xf numFmtId="3" fontId="0" fillId="0" borderId="0" xfId="0" applyNumberFormat="1" applyFont="1"/>
    <xf numFmtId="0" fontId="25" fillId="0" borderId="2" xfId="0" applyFont="1" applyFill="1" applyBorder="1" applyAlignment="1">
      <alignment horizontal="center" vertical="center"/>
    </xf>
    <xf numFmtId="0" fontId="85" fillId="0" borderId="0" xfId="0" applyFont="1" applyFill="1"/>
    <xf numFmtId="0" fontId="9" fillId="0" borderId="0" xfId="0" applyFont="1" applyFill="1"/>
    <xf numFmtId="0" fontId="82" fillId="0" borderId="1" xfId="0" applyFont="1" applyFill="1" applyBorder="1" applyAlignment="1">
      <alignment horizontal="center" vertical="center" wrapText="1"/>
    </xf>
    <xf numFmtId="0" fontId="82" fillId="0" borderId="6" xfId="0" applyFont="1" applyFill="1" applyBorder="1" applyAlignment="1">
      <alignment horizontal="center" vertical="center" wrapText="1"/>
    </xf>
    <xf numFmtId="0" fontId="82" fillId="0" borderId="6" xfId="0" applyFont="1" applyFill="1" applyBorder="1" applyAlignment="1">
      <alignment horizontal="left" vertical="center" wrapText="1"/>
    </xf>
    <xf numFmtId="0" fontId="80" fillId="0" borderId="6" xfId="0" applyFont="1" applyFill="1" applyBorder="1" applyAlignment="1">
      <alignment horizontal="center" vertical="center" wrapText="1"/>
    </xf>
    <xf numFmtId="3" fontId="80" fillId="0" borderId="6" xfId="0" applyNumberFormat="1" applyFont="1" applyFill="1" applyBorder="1" applyAlignment="1">
      <alignment horizontal="right" vertical="center" wrapText="1"/>
    </xf>
    <xf numFmtId="3" fontId="81" fillId="0" borderId="6" xfId="0"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2" xfId="0" applyFont="1" applyFill="1" applyBorder="1" applyAlignment="1">
      <alignment vertical="center" wrapText="1"/>
    </xf>
    <xf numFmtId="0" fontId="80" fillId="0" borderId="2" xfId="0" applyFont="1" applyFill="1" applyBorder="1" applyAlignment="1">
      <alignment horizontal="center" vertical="center" wrapText="1"/>
    </xf>
    <xf numFmtId="3" fontId="80" fillId="0" borderId="2" xfId="0" applyNumberFormat="1" applyFont="1" applyFill="1" applyBorder="1" applyAlignment="1">
      <alignment horizontal="right" vertical="center" wrapText="1"/>
    </xf>
    <xf numFmtId="3" fontId="81" fillId="0" borderId="2" xfId="0"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0" fontId="83" fillId="0" borderId="2" xfId="0" applyFont="1" applyFill="1" applyBorder="1" applyAlignment="1">
      <alignment vertical="center" wrapText="1"/>
    </xf>
    <xf numFmtId="3" fontId="81" fillId="0" borderId="2" xfId="0" applyNumberFormat="1" applyFont="1" applyFill="1" applyBorder="1" applyAlignment="1">
      <alignment horizontal="right" vertical="center" wrapText="1"/>
    </xf>
    <xf numFmtId="0" fontId="83" fillId="0" borderId="2" xfId="0" quotePrefix="1" applyFont="1" applyFill="1" applyBorder="1" applyAlignment="1">
      <alignment vertical="center" wrapText="1"/>
    </xf>
    <xf numFmtId="0" fontId="83" fillId="0" borderId="2" xfId="3" quotePrefix="1" applyFont="1" applyFill="1" applyBorder="1" applyAlignment="1">
      <alignment vertical="center" wrapText="1"/>
    </xf>
    <xf numFmtId="0" fontId="82" fillId="0" borderId="2" xfId="3" quotePrefix="1" applyFont="1" applyFill="1" applyBorder="1" applyAlignment="1">
      <alignment vertical="center" wrapText="1"/>
    </xf>
    <xf numFmtId="3" fontId="80" fillId="0" borderId="2" xfId="0" applyNumberFormat="1" applyFont="1" applyFill="1" applyBorder="1" applyAlignment="1">
      <alignment horizontal="center" vertical="center" wrapText="1"/>
    </xf>
    <xf numFmtId="0" fontId="82" fillId="0" borderId="7" xfId="0" applyFont="1" applyFill="1" applyBorder="1" applyAlignment="1">
      <alignment horizontal="center" vertical="center"/>
    </xf>
    <xf numFmtId="0" fontId="82" fillId="0" borderId="7" xfId="0" applyFont="1" applyFill="1" applyBorder="1" applyAlignment="1">
      <alignment vertical="center" wrapText="1"/>
    </xf>
    <xf numFmtId="3" fontId="82" fillId="0" borderId="2" xfId="0" applyNumberFormat="1" applyFont="1" applyFill="1" applyBorder="1" applyAlignment="1">
      <alignment horizontal="center" vertical="center" wrapText="1"/>
    </xf>
    <xf numFmtId="3" fontId="83" fillId="0" borderId="2" xfId="0" applyNumberFormat="1" applyFont="1" applyFill="1" applyBorder="1" applyAlignment="1">
      <alignment horizontal="center" vertical="center" wrapText="1"/>
    </xf>
    <xf numFmtId="0" fontId="86" fillId="0" borderId="2" xfId="0" applyFont="1" applyFill="1" applyBorder="1"/>
    <xf numFmtId="0" fontId="83" fillId="0" borderId="2" xfId="0" quotePrefix="1" applyFont="1" applyFill="1" applyBorder="1" applyAlignment="1">
      <alignment horizontal="center" vertical="center" wrapText="1"/>
    </xf>
    <xf numFmtId="0" fontId="82" fillId="0" borderId="2" xfId="0" quotePrefix="1" applyFont="1" applyFill="1" applyBorder="1" applyAlignment="1">
      <alignment vertical="center" wrapText="1"/>
    </xf>
    <xf numFmtId="0" fontId="83" fillId="0" borderId="5" xfId="0" applyFont="1" applyFill="1" applyBorder="1" applyAlignment="1">
      <alignment horizontal="center" vertical="center" wrapText="1"/>
    </xf>
    <xf numFmtId="0" fontId="83" fillId="0" borderId="5" xfId="0" applyFont="1" applyFill="1" applyBorder="1" applyAlignment="1">
      <alignment vertical="center" wrapText="1"/>
    </xf>
    <xf numFmtId="3" fontId="81" fillId="0" borderId="5" xfId="0" applyNumberFormat="1" applyFont="1" applyFill="1" applyBorder="1" applyAlignment="1">
      <alignment horizontal="right" vertical="center" wrapText="1"/>
    </xf>
    <xf numFmtId="3" fontId="81" fillId="0" borderId="5" xfId="0" applyNumberFormat="1" applyFont="1" applyFill="1" applyBorder="1" applyAlignment="1">
      <alignment horizontal="center" vertical="center" wrapText="1"/>
    </xf>
    <xf numFmtId="3" fontId="3" fillId="34" borderId="2" xfId="0" applyNumberFormat="1" applyFont="1" applyFill="1" applyBorder="1" applyAlignment="1">
      <alignment horizontal="right" vertical="center" wrapText="1"/>
    </xf>
    <xf numFmtId="3" fontId="87" fillId="0" borderId="2" xfId="0" applyNumberFormat="1" applyFont="1" applyFill="1" applyBorder="1" applyAlignment="1">
      <alignment horizontal="right" vertical="center" wrapText="1"/>
    </xf>
    <xf numFmtId="3" fontId="87" fillId="0" borderId="2" xfId="0" applyNumberFormat="1" applyFont="1" applyFill="1" applyBorder="1" applyAlignment="1">
      <alignment horizontal="center" vertical="center" wrapText="1"/>
    </xf>
    <xf numFmtId="0" fontId="88" fillId="0" borderId="0" xfId="0" applyFont="1" applyFill="1"/>
    <xf numFmtId="3" fontId="20" fillId="0" borderId="1" xfId="0" applyNumberFormat="1" applyFont="1" applyFill="1" applyBorder="1" applyAlignment="1">
      <alignment horizontal="right" vertical="center" wrapText="1"/>
    </xf>
    <xf numFmtId="3" fontId="85" fillId="0" borderId="1" xfId="0" applyNumberFormat="1" applyFont="1" applyFill="1" applyBorder="1"/>
    <xf numFmtId="177" fontId="85" fillId="0" borderId="1" xfId="1" applyNumberFormat="1" applyFont="1" applyFill="1" applyBorder="1"/>
    <xf numFmtId="0" fontId="21" fillId="0" borderId="2" xfId="0" applyFont="1" applyFill="1" applyBorder="1" applyAlignment="1">
      <alignment horizontal="justify" vertical="center" wrapText="1"/>
    </xf>
    <xf numFmtId="0" fontId="21" fillId="0" borderId="2" xfId="0" quotePrefix="1" applyFont="1" applyFill="1" applyBorder="1" applyAlignment="1">
      <alignment horizontal="center" vertical="center" wrapText="1"/>
    </xf>
    <xf numFmtId="1" fontId="21" fillId="0" borderId="2" xfId="0" applyNumberFormat="1" applyFont="1" applyFill="1" applyBorder="1" applyAlignment="1">
      <alignment horizontal="center" vertical="center"/>
    </xf>
    <xf numFmtId="0" fontId="21" fillId="0" borderId="2" xfId="0" applyFont="1" applyFill="1" applyBorder="1" applyAlignment="1">
      <alignment horizontal="justify" vertical="center"/>
    </xf>
    <xf numFmtId="0" fontId="25" fillId="0" borderId="2" xfId="0" applyFont="1" applyFill="1" applyBorder="1"/>
    <xf numFmtId="0" fontId="25" fillId="0" borderId="2" xfId="0" applyFont="1" applyFill="1" applyBorder="1" applyAlignment="1">
      <alignment horizontal="center" wrapText="1"/>
    </xf>
    <xf numFmtId="167" fontId="25"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top" wrapText="1"/>
    </xf>
    <xf numFmtId="0" fontId="25" fillId="0" borderId="2" xfId="0" applyFont="1" applyFill="1" applyBorder="1" applyAlignment="1">
      <alignment horizontal="left" vertical="center" wrapText="1"/>
    </xf>
    <xf numFmtId="49" fontId="25"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left" vertical="center" wrapText="1"/>
    </xf>
    <xf numFmtId="0" fontId="21" fillId="0" borderId="2"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protection locked="0"/>
    </xf>
    <xf numFmtId="16" fontId="21" fillId="0" borderId="2" xfId="0" quotePrefix="1" applyNumberFormat="1"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4" xfId="0" applyFont="1" applyFill="1" applyBorder="1" applyAlignment="1">
      <alignment horizontal="center" vertical="center" wrapText="1"/>
    </xf>
    <xf numFmtId="167" fontId="25" fillId="0" borderId="4" xfId="0" applyNumberFormat="1" applyFont="1" applyFill="1" applyBorder="1" applyAlignment="1">
      <alignment horizontal="center" vertical="center" wrapText="1"/>
    </xf>
    <xf numFmtId="0" fontId="21" fillId="0" borderId="3" xfId="0" quotePrefix="1" applyFont="1" applyFill="1" applyBorder="1" applyAlignment="1">
      <alignment horizontal="center" vertical="center" wrapText="1"/>
    </xf>
    <xf numFmtId="167" fontId="21"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top" wrapText="1"/>
    </xf>
    <xf numFmtId="49" fontId="25" fillId="0" borderId="4"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horizontal="left" vertical="center" wrapText="1"/>
    </xf>
    <xf numFmtId="167" fontId="25" fillId="0" borderId="3" xfId="0" applyNumberFormat="1" applyFont="1" applyFill="1" applyBorder="1" applyAlignment="1">
      <alignment horizontal="center" vertical="center" wrapText="1"/>
    </xf>
    <xf numFmtId="167" fontId="25" fillId="0" borderId="2" xfId="0" quotePrefix="1"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5" xfId="0" applyFont="1" applyFill="1" applyBorder="1"/>
    <xf numFmtId="167" fontId="25" fillId="0" borderId="5" xfId="0" applyNumberFormat="1" applyFont="1" applyFill="1" applyBorder="1" applyAlignment="1">
      <alignment horizontal="center" vertical="center" wrapText="1"/>
    </xf>
    <xf numFmtId="0" fontId="25" fillId="0" borderId="2" xfId="0" applyFont="1" applyFill="1" applyBorder="1" applyAlignment="1">
      <alignment horizontal="justify" vertical="center" wrapText="1"/>
    </xf>
    <xf numFmtId="49" fontId="21" fillId="0" borderId="2" xfId="0" quotePrefix="1" applyNumberFormat="1" applyFont="1" applyFill="1" applyBorder="1" applyAlignment="1">
      <alignment horizontal="center" vertical="center" wrapText="1"/>
    </xf>
    <xf numFmtId="0" fontId="25"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quotePrefix="1" applyFont="1" applyFill="1" applyBorder="1" applyAlignment="1">
      <alignment horizontal="center" vertical="center" wrapText="1"/>
    </xf>
    <xf numFmtId="49" fontId="25" fillId="0" borderId="2" xfId="0" applyNumberFormat="1" applyFont="1" applyFill="1" applyBorder="1" applyAlignment="1">
      <alignment horizontal="left" vertical="center" wrapText="1"/>
    </xf>
    <xf numFmtId="0" fontId="21" fillId="0" borderId="3" xfId="0" applyFont="1" applyFill="1" applyBorder="1" applyAlignment="1">
      <alignment horizontal="justify" vertical="center" wrapText="1"/>
    </xf>
    <xf numFmtId="0" fontId="21" fillId="0" borderId="3" xfId="0" applyFont="1" applyFill="1" applyBorder="1" applyAlignment="1">
      <alignment vertical="center" wrapText="1"/>
    </xf>
    <xf numFmtId="1" fontId="21" fillId="0" borderId="6" xfId="0" applyNumberFormat="1" applyFont="1" applyFill="1" applyBorder="1" applyAlignment="1">
      <alignment horizontal="center" vertical="center"/>
    </xf>
    <xf numFmtId="0" fontId="21" fillId="0" borderId="6" xfId="0" applyFont="1" applyFill="1" applyBorder="1" applyAlignment="1">
      <alignment horizontal="justify" vertical="center"/>
    </xf>
    <xf numFmtId="0" fontId="25" fillId="0" borderId="6" xfId="0" applyFont="1" applyFill="1" applyBorder="1"/>
    <xf numFmtId="0" fontId="25" fillId="0" borderId="6" xfId="0" applyFont="1" applyFill="1" applyBorder="1" applyAlignment="1">
      <alignment horizontal="center" vertical="center"/>
    </xf>
    <xf numFmtId="3" fontId="90" fillId="0" borderId="2" xfId="0" applyNumberFormat="1" applyFont="1" applyFill="1" applyBorder="1" applyAlignment="1">
      <alignment horizontal="right" vertical="center" wrapText="1"/>
    </xf>
    <xf numFmtId="0" fontId="91" fillId="0" borderId="0" xfId="0" applyFont="1" applyFill="1"/>
    <xf numFmtId="177" fontId="91" fillId="0" borderId="0" xfId="1" applyNumberFormat="1" applyFont="1" applyFill="1"/>
    <xf numFmtId="3" fontId="34" fillId="0" borderId="2" xfId="0" applyNumberFormat="1" applyFont="1" applyFill="1" applyBorder="1" applyAlignment="1">
      <alignment horizontal="right" vertical="center" wrapText="1"/>
    </xf>
    <xf numFmtId="0" fontId="92" fillId="0" borderId="0" xfId="0" applyFont="1" applyFill="1"/>
    <xf numFmtId="177" fontId="92" fillId="0" borderId="0" xfId="1" applyNumberFormat="1" applyFont="1" applyFill="1"/>
    <xf numFmtId="0" fontId="92" fillId="0" borderId="2" xfId="0" applyFont="1" applyFill="1" applyBorder="1"/>
    <xf numFmtId="0" fontId="19" fillId="0" borderId="6"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top" wrapText="1"/>
    </xf>
    <xf numFmtId="169" fontId="19" fillId="0" borderId="3" xfId="6" applyNumberFormat="1" applyFont="1" applyFill="1" applyBorder="1" applyAlignment="1">
      <alignment horizontal="center" vertical="top" wrapText="1"/>
    </xf>
    <xf numFmtId="0" fontId="19" fillId="0" borderId="2" xfId="0" applyFont="1" applyFill="1" applyBorder="1" applyAlignment="1">
      <alignment horizontal="center" vertical="center"/>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top" wrapText="1"/>
    </xf>
    <xf numFmtId="169" fontId="19" fillId="0" borderId="2" xfId="6" applyNumberFormat="1" applyFont="1" applyFill="1" applyBorder="1" applyAlignment="1">
      <alignment horizontal="center" vertical="top" wrapText="1"/>
    </xf>
    <xf numFmtId="0" fontId="19" fillId="0" borderId="2" xfId="0" applyFont="1" applyFill="1" applyBorder="1" applyAlignment="1">
      <alignment horizontal="left" vertical="center" wrapText="1"/>
    </xf>
    <xf numFmtId="0" fontId="20" fillId="0" borderId="2" xfId="0" applyFont="1" applyFill="1" applyBorder="1" applyAlignment="1">
      <alignment horizontal="center" vertical="top" wrapText="1"/>
    </xf>
    <xf numFmtId="0" fontId="20" fillId="0" borderId="2" xfId="0" applyFont="1" applyFill="1" applyBorder="1" applyAlignment="1">
      <alignment vertical="center" wrapText="1"/>
    </xf>
    <xf numFmtId="0" fontId="20" fillId="0" borderId="2" xfId="0" quotePrefix="1" applyFont="1" applyFill="1" applyBorder="1" applyAlignment="1">
      <alignment horizontal="left" vertical="center" wrapText="1"/>
    </xf>
    <xf numFmtId="0" fontId="19" fillId="0" borderId="2" xfId="0" applyFont="1" applyFill="1" applyBorder="1" applyAlignment="1" applyProtection="1">
      <alignment horizontal="center" vertical="top"/>
      <protection locked="0"/>
    </xf>
    <xf numFmtId="0" fontId="20" fillId="0"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19" fillId="0" borderId="2" xfId="0" applyNumberFormat="1" applyFont="1" applyFill="1" applyBorder="1" applyAlignment="1">
      <alignment horizontal="center" vertical="center" wrapText="1"/>
    </xf>
    <xf numFmtId="0" fontId="19" fillId="0" borderId="2" xfId="0" quotePrefix="1" applyFont="1" applyFill="1" applyBorder="1" applyAlignment="1">
      <alignment vertical="center" wrapText="1"/>
    </xf>
    <xf numFmtId="0" fontId="19" fillId="0" borderId="2" xfId="9" quotePrefix="1" applyFont="1" applyFill="1" applyBorder="1" applyAlignment="1">
      <alignment horizontal="left" vertical="center" wrapText="1"/>
    </xf>
    <xf numFmtId="0" fontId="25" fillId="0" borderId="2" xfId="10" quotePrefix="1" applyFont="1" applyFill="1" applyBorder="1" applyAlignment="1">
      <alignment vertical="center" wrapText="1"/>
    </xf>
    <xf numFmtId="49" fontId="19" fillId="0" borderId="2" xfId="0" applyNumberFormat="1" applyFont="1" applyFill="1" applyBorder="1" applyAlignment="1">
      <alignment horizontal="left" vertical="center" wrapText="1"/>
    </xf>
    <xf numFmtId="0" fontId="19" fillId="0" borderId="2" xfId="0" applyFont="1" applyFill="1" applyBorder="1" applyAlignment="1" applyProtection="1">
      <alignment horizontal="center" vertical="top" wrapText="1"/>
      <protection locked="0"/>
    </xf>
    <xf numFmtId="0" fontId="20" fillId="0" borderId="2" xfId="0" applyNumberFormat="1" applyFont="1" applyFill="1" applyBorder="1" applyAlignment="1">
      <alignment horizontal="center" vertical="center" wrapText="1"/>
    </xf>
    <xf numFmtId="0" fontId="20" fillId="0" borderId="2" xfId="3" applyFont="1" applyFill="1" applyBorder="1" applyAlignment="1">
      <alignment horizontal="center" vertical="top" wrapText="1"/>
    </xf>
    <xf numFmtId="49" fontId="20" fillId="0" borderId="2" xfId="0" applyNumberFormat="1" applyFont="1" applyFill="1" applyBorder="1" applyAlignment="1">
      <alignment horizontal="left" vertical="center" wrapText="1"/>
    </xf>
    <xf numFmtId="0" fontId="20" fillId="0" borderId="2" xfId="0" applyFont="1" applyFill="1" applyBorder="1" applyAlignment="1" applyProtection="1">
      <alignment horizontal="center" vertical="top" wrapText="1"/>
      <protection locked="0"/>
    </xf>
    <xf numFmtId="0" fontId="25" fillId="0" borderId="2" xfId="0" applyFont="1" applyFill="1" applyBorder="1" applyAlignment="1">
      <alignment vertical="center"/>
    </xf>
    <xf numFmtId="167" fontId="20" fillId="0" borderId="2" xfId="0" applyNumberFormat="1" applyFont="1" applyFill="1" applyBorder="1" applyAlignment="1" applyProtection="1">
      <alignment horizontal="center" vertical="top"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top" wrapText="1"/>
    </xf>
    <xf numFmtId="0" fontId="21" fillId="0" borderId="2" xfId="0" applyFont="1" applyFill="1" applyBorder="1" applyAlignment="1">
      <alignment vertical="center"/>
    </xf>
    <xf numFmtId="0" fontId="20" fillId="0" borderId="2" xfId="0" applyNumberFormat="1" applyFont="1" applyFill="1" applyBorder="1" applyAlignment="1">
      <alignment horizontal="center" vertical="top" wrapText="1"/>
    </xf>
    <xf numFmtId="0" fontId="20" fillId="0" borderId="2" xfId="0" applyFont="1" applyFill="1" applyBorder="1" applyAlignment="1">
      <alignment horizontal="left" vertical="center" wrapText="1"/>
    </xf>
    <xf numFmtId="0" fontId="19" fillId="0" borderId="2" xfId="0" quotePrefix="1" applyFont="1" applyFill="1" applyBorder="1" applyAlignment="1">
      <alignment horizontal="left" vertical="center" wrapText="1"/>
    </xf>
    <xf numFmtId="0" fontId="89" fillId="0" borderId="2" xfId="0" applyFont="1" applyFill="1" applyBorder="1"/>
    <xf numFmtId="0" fontId="19" fillId="0" borderId="2" xfId="0" applyFont="1" applyFill="1" applyBorder="1" applyAlignment="1">
      <alignment vertical="center"/>
    </xf>
    <xf numFmtId="0" fontId="20" fillId="0" borderId="2" xfId="0" applyFont="1" applyFill="1" applyBorder="1" applyAlignment="1">
      <alignment horizontal="center" vertical="top"/>
    </xf>
    <xf numFmtId="0" fontId="19" fillId="0" borderId="2" xfId="0" applyFont="1" applyFill="1" applyBorder="1" applyAlignment="1">
      <alignment vertical="justify"/>
    </xf>
    <xf numFmtId="167" fontId="20" fillId="0" borderId="2" xfId="0" applyNumberFormat="1" applyFont="1" applyFill="1" applyBorder="1" applyAlignment="1">
      <alignment horizontal="center" vertical="top" wrapText="1"/>
    </xf>
    <xf numFmtId="0" fontId="93" fillId="0" borderId="2" xfId="0" applyFont="1" applyFill="1" applyBorder="1" applyAlignment="1">
      <alignment horizontal="justify" vertical="center" wrapText="1"/>
    </xf>
    <xf numFmtId="0" fontId="95" fillId="0" borderId="2" xfId="0" applyFont="1" applyBorder="1" applyAlignment="1">
      <alignment vertical="center" wrapText="1"/>
    </xf>
    <xf numFmtId="0" fontId="20" fillId="0" borderId="2" xfId="0" applyFont="1" applyFill="1" applyBorder="1" applyAlignment="1" applyProtection="1">
      <alignment horizontal="center" vertical="center" wrapText="1"/>
    </xf>
    <xf numFmtId="167" fontId="20"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top" wrapText="1"/>
    </xf>
    <xf numFmtId="0" fontId="19" fillId="0" borderId="2" xfId="0" applyFont="1" applyFill="1" applyBorder="1" applyAlignment="1">
      <alignment vertical="top"/>
    </xf>
    <xf numFmtId="0" fontId="21" fillId="0" borderId="2" xfId="0" applyFont="1" applyFill="1" applyBorder="1" applyAlignment="1">
      <alignment horizontal="justify" vertical="top" wrapText="1"/>
    </xf>
    <xf numFmtId="0" fontId="25" fillId="0" borderId="2" xfId="0" applyFont="1" applyFill="1" applyBorder="1" applyAlignment="1">
      <alignment horizontal="justify" vertical="top" wrapText="1"/>
    </xf>
    <xf numFmtId="0" fontId="20" fillId="0" borderId="2" xfId="11" applyFont="1" applyFill="1" applyBorder="1" applyAlignment="1">
      <alignment horizontal="center" vertical="top" wrapText="1"/>
    </xf>
    <xf numFmtId="0" fontId="19" fillId="0" borderId="0" xfId="0" applyFont="1" applyFill="1" applyAlignment="1">
      <alignment horizontal="center" vertical="center" wrapText="1"/>
    </xf>
    <xf numFmtId="167" fontId="19" fillId="0" borderId="2" xfId="0" applyNumberFormat="1" applyFont="1" applyFill="1" applyBorder="1" applyAlignment="1">
      <alignment horizontal="center" vertical="top" wrapText="1"/>
    </xf>
    <xf numFmtId="0" fontId="19" fillId="0" borderId="2" xfId="0" applyFont="1" applyFill="1" applyBorder="1" applyAlignment="1">
      <alignment horizontal="center" vertical="top"/>
    </xf>
    <xf numFmtId="0" fontId="20" fillId="0" borderId="2" xfId="0" applyFont="1" applyFill="1" applyBorder="1" applyAlignment="1">
      <alignment vertical="top"/>
    </xf>
    <xf numFmtId="0" fontId="20" fillId="0" borderId="2" xfId="0" applyFont="1" applyFill="1" applyBorder="1" applyAlignment="1" applyProtection="1">
      <alignment horizontal="center" vertical="top" wrapText="1"/>
    </xf>
    <xf numFmtId="0" fontId="20" fillId="0" borderId="0" xfId="0" applyFont="1" applyFill="1" applyAlignment="1">
      <alignment horizontal="center" vertical="top" wrapText="1"/>
    </xf>
    <xf numFmtId="0" fontId="19" fillId="0" borderId="0" xfId="0" applyFont="1" applyFill="1" applyAlignment="1">
      <alignment horizontal="center" vertical="top" wrapText="1"/>
    </xf>
    <xf numFmtId="49" fontId="19" fillId="0" borderId="2" xfId="0" applyNumberFormat="1" applyFont="1" applyFill="1" applyBorder="1" applyAlignment="1">
      <alignment horizontal="left" vertical="top" wrapText="1"/>
    </xf>
    <xf numFmtId="0" fontId="19" fillId="0" borderId="2" xfId="0" applyNumberFormat="1" applyFont="1" applyFill="1" applyBorder="1" applyAlignment="1">
      <alignment horizontal="center" vertical="top" wrapText="1"/>
    </xf>
    <xf numFmtId="0" fontId="19" fillId="0" borderId="2" xfId="0" applyFont="1" applyFill="1" applyBorder="1" applyAlignment="1" applyProtection="1">
      <alignment horizontal="left" vertical="top" wrapText="1"/>
    </xf>
    <xf numFmtId="0" fontId="25" fillId="0" borderId="2" xfId="10" quotePrefix="1" applyFont="1" applyFill="1" applyBorder="1" applyAlignment="1">
      <alignment vertical="top" wrapText="1"/>
    </xf>
    <xf numFmtId="0" fontId="20" fillId="0" borderId="2" xfId="0" quotePrefix="1" applyFont="1" applyFill="1" applyBorder="1" applyAlignment="1" applyProtection="1">
      <alignment horizontal="left" vertical="top" wrapText="1"/>
    </xf>
    <xf numFmtId="49" fontId="20" fillId="0" borderId="2" xfId="0" applyNumberFormat="1" applyFont="1" applyFill="1" applyBorder="1" applyAlignment="1">
      <alignment horizontal="left" vertical="top" wrapText="1"/>
    </xf>
    <xf numFmtId="1" fontId="19" fillId="0" borderId="2" xfId="0" applyNumberFormat="1" applyFont="1" applyFill="1" applyBorder="1" applyAlignment="1">
      <alignment horizontal="center" vertical="top" wrapText="1"/>
    </xf>
    <xf numFmtId="0" fontId="20" fillId="0" borderId="2" xfId="0" applyFont="1" applyFill="1" applyBorder="1" applyAlignment="1">
      <alignment horizontal="left" vertical="top" wrapText="1"/>
    </xf>
    <xf numFmtId="170" fontId="20" fillId="0" borderId="2" xfId="4" quotePrefix="1" applyNumberFormat="1" applyFont="1" applyFill="1" applyBorder="1" applyAlignment="1">
      <alignment horizontal="center" vertical="top"/>
    </xf>
    <xf numFmtId="0" fontId="93" fillId="0" borderId="2" xfId="0" applyFont="1" applyFill="1" applyBorder="1" applyAlignment="1">
      <alignment vertical="top" wrapText="1"/>
    </xf>
    <xf numFmtId="0" fontId="20" fillId="0" borderId="2" xfId="0" applyFont="1" applyFill="1" applyBorder="1" applyAlignment="1">
      <alignment vertical="top" wrapText="1"/>
    </xf>
    <xf numFmtId="0" fontId="19" fillId="0" borderId="2" xfId="0" quotePrefix="1" applyFont="1" applyFill="1" applyBorder="1" applyAlignment="1" applyProtection="1">
      <alignment horizontal="left" vertical="top" wrapText="1"/>
    </xf>
    <xf numFmtId="0" fontId="20" fillId="0" borderId="2" xfId="0" quotePrefix="1" applyFont="1" applyFill="1" applyBorder="1" applyAlignment="1" applyProtection="1">
      <alignment horizontal="center" vertical="top" wrapText="1"/>
    </xf>
    <xf numFmtId="0" fontId="25" fillId="0" borderId="2" xfId="0" applyFont="1" applyFill="1" applyBorder="1" applyAlignment="1">
      <alignment horizontal="justify" vertical="top"/>
    </xf>
    <xf numFmtId="0" fontId="25" fillId="0" borderId="2" xfId="0" applyFont="1" applyFill="1" applyBorder="1" applyAlignment="1">
      <alignment vertical="top" wrapText="1"/>
    </xf>
    <xf numFmtId="0" fontId="25" fillId="0" borderId="2" xfId="0" applyFont="1" applyFill="1" applyBorder="1" applyAlignment="1">
      <alignment vertical="top"/>
    </xf>
    <xf numFmtId="0" fontId="21" fillId="0" borderId="2" xfId="0" applyFont="1" applyFill="1" applyBorder="1" applyAlignment="1">
      <alignment vertical="top"/>
    </xf>
    <xf numFmtId="49" fontId="20" fillId="0" borderId="2" xfId="0" applyNumberFormat="1" applyFont="1" applyFill="1" applyBorder="1" applyAlignment="1">
      <alignment horizontal="center" vertical="top" wrapText="1"/>
    </xf>
    <xf numFmtId="49" fontId="19" fillId="0" borderId="2" xfId="0" applyNumberFormat="1" applyFont="1" applyFill="1" applyBorder="1" applyAlignment="1">
      <alignment vertical="top" wrapText="1"/>
    </xf>
    <xf numFmtId="167" fontId="20" fillId="0" borderId="2" xfId="4" applyNumberFormat="1" applyFont="1" applyFill="1" applyBorder="1" applyAlignment="1">
      <alignment horizontal="center" vertical="top" wrapText="1"/>
    </xf>
    <xf numFmtId="0" fontId="19" fillId="0" borderId="2" xfId="0" applyFont="1" applyFill="1" applyBorder="1" applyAlignment="1" applyProtection="1">
      <alignment vertical="top" wrapText="1"/>
    </xf>
    <xf numFmtId="0" fontId="95" fillId="0" borderId="2" xfId="0" applyFont="1" applyBorder="1" applyAlignment="1">
      <alignment vertical="top" wrapText="1"/>
    </xf>
    <xf numFmtId="0" fontId="14" fillId="2" borderId="1" xfId="26" applyFont="1" applyFill="1" applyBorder="1" applyAlignment="1">
      <alignment horizontal="center" vertical="center" wrapText="1"/>
    </xf>
    <xf numFmtId="0" fontId="14" fillId="2" borderId="1" xfId="20" applyNumberFormat="1" applyFont="1" applyFill="1" applyBorder="1" applyAlignment="1">
      <alignment vertical="center" wrapText="1"/>
    </xf>
    <xf numFmtId="0" fontId="9" fillId="2" borderId="1" xfId="26" applyFont="1" applyFill="1" applyBorder="1" applyAlignment="1">
      <alignment horizontal="center" vertical="center" wrapText="1"/>
    </xf>
    <xf numFmtId="4" fontId="9" fillId="2" borderId="1" xfId="26" applyNumberFormat="1" applyFont="1" applyFill="1" applyBorder="1" applyAlignment="1">
      <alignment horizontal="center" vertical="center" wrapText="1"/>
    </xf>
    <xf numFmtId="0" fontId="9" fillId="2" borderId="1" xfId="20" applyNumberFormat="1" applyFont="1" applyFill="1" applyBorder="1" applyAlignment="1">
      <alignment vertical="center" wrapText="1"/>
    </xf>
    <xf numFmtId="0" fontId="3" fillId="0" borderId="1" xfId="26" applyFont="1" applyBorder="1"/>
    <xf numFmtId="0" fontId="9" fillId="2" borderId="1" xfId="20" applyNumberFormat="1" applyFont="1" applyFill="1" applyBorder="1" applyAlignment="1">
      <alignment horizontal="left" vertical="center" wrapText="1"/>
    </xf>
    <xf numFmtId="0" fontId="9" fillId="2" borderId="1" xfId="26" applyNumberFormat="1" applyFont="1" applyFill="1" applyBorder="1" applyAlignment="1">
      <alignment horizontal="left" vertical="center" wrapText="1"/>
    </xf>
    <xf numFmtId="0" fontId="9" fillId="2" borderId="1" xfId="26" applyFont="1" applyFill="1" applyBorder="1" applyAlignment="1">
      <alignment horizontal="center" vertical="center"/>
    </xf>
    <xf numFmtId="0" fontId="9" fillId="2" borderId="1" xfId="26" applyNumberFormat="1" applyFont="1" applyFill="1" applyBorder="1" applyAlignment="1">
      <alignment horizontal="justify" vertical="center" wrapText="1"/>
    </xf>
    <xf numFmtId="0" fontId="14" fillId="2" borderId="1" xfId="20" applyNumberFormat="1" applyFont="1" applyFill="1" applyBorder="1" applyAlignment="1">
      <alignment horizontal="left" vertical="center" wrapText="1"/>
    </xf>
    <xf numFmtId="0" fontId="14" fillId="2" borderId="1" xfId="20" applyFont="1" applyFill="1" applyBorder="1" applyAlignment="1">
      <alignment horizontal="center" vertical="center"/>
    </xf>
    <xf numFmtId="0" fontId="14" fillId="2" borderId="1" xfId="20" applyNumberFormat="1" applyFont="1" applyFill="1" applyBorder="1" applyAlignment="1">
      <alignment vertical="center"/>
    </xf>
    <xf numFmtId="0" fontId="14" fillId="2" borderId="1" xfId="26" applyNumberFormat="1" applyFont="1" applyFill="1" applyBorder="1" applyAlignment="1">
      <alignment horizontal="left" vertical="center" wrapText="1"/>
    </xf>
    <xf numFmtId="0" fontId="14" fillId="2" borderId="1" xfId="26" applyNumberFormat="1" applyFont="1" applyFill="1" applyBorder="1" applyAlignment="1">
      <alignment horizontal="justify" vertical="center" wrapText="1"/>
    </xf>
    <xf numFmtId="0" fontId="9" fillId="2" borderId="1" xfId="21" applyNumberFormat="1" applyFont="1" applyFill="1" applyBorder="1" applyAlignment="1">
      <alignment horizontal="left" vertical="center" wrapText="1" readingOrder="1"/>
    </xf>
    <xf numFmtId="0" fontId="9" fillId="2" borderId="1" xfId="21" applyFont="1" applyFill="1" applyBorder="1" applyAlignment="1">
      <alignment horizontal="center" vertical="center" wrapText="1"/>
    </xf>
    <xf numFmtId="4" fontId="9" fillId="2" borderId="1" xfId="22" applyNumberFormat="1" applyFont="1" applyFill="1" applyBorder="1" applyAlignment="1">
      <alignment horizontal="center" vertical="center" wrapText="1"/>
    </xf>
    <xf numFmtId="0" fontId="96" fillId="2" borderId="1" xfId="26" applyFont="1" applyFill="1" applyBorder="1" applyAlignment="1">
      <alignment horizontal="center" vertical="center" wrapText="1"/>
    </xf>
    <xf numFmtId="0" fontId="9" fillId="2" borderId="1" xfId="20" applyFont="1" applyFill="1" applyBorder="1" applyAlignment="1">
      <alignment horizontal="center" vertical="center"/>
    </xf>
    <xf numFmtId="0" fontId="28" fillId="2" borderId="1" xfId="26" applyFont="1" applyFill="1" applyBorder="1" applyAlignment="1">
      <alignment horizontal="center" vertical="center" wrapText="1"/>
    </xf>
    <xf numFmtId="0" fontId="28" fillId="2" borderId="1" xfId="26" applyNumberFormat="1" applyFont="1" applyFill="1" applyBorder="1" applyAlignment="1">
      <alignment horizontal="justify" vertical="center" wrapText="1"/>
    </xf>
    <xf numFmtId="0" fontId="27" fillId="2" borderId="1" xfId="26" applyNumberFormat="1" applyFont="1" applyFill="1" applyBorder="1" applyAlignment="1">
      <alignment vertical="center" wrapText="1"/>
    </xf>
    <xf numFmtId="0" fontId="9" fillId="2" borderId="1" xfId="26" quotePrefix="1" applyNumberFormat="1" applyFont="1" applyFill="1" applyBorder="1" applyAlignment="1">
      <alignment vertical="center" wrapText="1"/>
    </xf>
    <xf numFmtId="0" fontId="9" fillId="2" borderId="1" xfId="6" applyNumberFormat="1" applyFont="1" applyFill="1" applyBorder="1" applyAlignment="1">
      <alignment vertical="center" wrapText="1"/>
    </xf>
    <xf numFmtId="169" fontId="9" fillId="2" borderId="1" xfId="6" applyNumberFormat="1" applyFont="1" applyFill="1" applyBorder="1" applyAlignment="1">
      <alignment horizontal="center" vertical="center" wrapText="1"/>
    </xf>
    <xf numFmtId="9" fontId="9" fillId="2" borderId="1" xfId="155" applyFont="1" applyFill="1" applyBorder="1" applyAlignment="1">
      <alignment horizontal="center" vertical="center"/>
    </xf>
    <xf numFmtId="0" fontId="9" fillId="2" borderId="1" xfId="26" applyFont="1" applyFill="1" applyBorder="1" applyAlignment="1" applyProtection="1">
      <alignment horizontal="center" vertical="center" wrapText="1"/>
      <protection locked="0"/>
    </xf>
    <xf numFmtId="0" fontId="9" fillId="2" borderId="1" xfId="6" applyNumberFormat="1" applyFont="1" applyFill="1" applyBorder="1" applyAlignment="1">
      <alignment horizontal="left" vertical="center" wrapText="1"/>
    </xf>
    <xf numFmtId="167" fontId="9" fillId="2" borderId="1" xfId="26" applyNumberFormat="1" applyFont="1" applyFill="1" applyBorder="1" applyAlignment="1">
      <alignment horizontal="center" vertical="center"/>
    </xf>
    <xf numFmtId="4" fontId="9" fillId="2" borderId="1" xfId="6" applyNumberFormat="1" applyFont="1" applyFill="1" applyBorder="1" applyAlignment="1">
      <alignment horizontal="center" vertical="center" wrapText="1"/>
    </xf>
    <xf numFmtId="0" fontId="9" fillId="2" borderId="1" xfId="26" applyNumberFormat="1" applyFont="1" applyFill="1" applyBorder="1" applyAlignment="1">
      <alignment vertical="center" wrapText="1"/>
    </xf>
    <xf numFmtId="0" fontId="9" fillId="2" borderId="1" xfId="26" applyNumberFormat="1" applyFont="1" applyFill="1" applyBorder="1" applyAlignment="1">
      <alignment vertical="center"/>
    </xf>
    <xf numFmtId="0" fontId="14" fillId="2" borderId="1" xfId="26" applyNumberFormat="1" applyFont="1" applyFill="1" applyBorder="1" applyAlignment="1">
      <alignment vertical="center" wrapText="1"/>
    </xf>
    <xf numFmtId="4" fontId="14" fillId="2" borderId="1" xfId="26" applyNumberFormat="1"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6" xfId="0" applyFont="1" applyFill="1" applyBorder="1" applyAlignment="1">
      <alignment horizontal="left" vertical="center" wrapText="1"/>
    </xf>
    <xf numFmtId="3" fontId="32" fillId="2" borderId="6" xfId="0" applyNumberFormat="1" applyFont="1" applyFill="1" applyBorder="1" applyAlignment="1">
      <alignment horizontal="right" vertical="center" wrapText="1"/>
    </xf>
    <xf numFmtId="0" fontId="32" fillId="2" borderId="2" xfId="0" applyFont="1" applyFill="1" applyBorder="1" applyAlignment="1">
      <alignment horizontal="center" vertical="center" wrapText="1"/>
    </xf>
    <xf numFmtId="0" fontId="32" fillId="2" borderId="2" xfId="0" quotePrefix="1" applyFont="1" applyFill="1" applyBorder="1" applyAlignment="1">
      <alignment vertical="center" wrapText="1"/>
    </xf>
    <xf numFmtId="0" fontId="32" fillId="2" borderId="2" xfId="0" quotePrefix="1" applyFont="1" applyFill="1" applyBorder="1" applyAlignment="1">
      <alignment horizontal="center" vertical="center" wrapText="1"/>
    </xf>
    <xf numFmtId="0" fontId="97" fillId="2" borderId="2" xfId="0" applyFont="1" applyFill="1" applyBorder="1" applyAlignment="1">
      <alignment horizontal="center" vertical="center" wrapText="1"/>
    </xf>
    <xf numFmtId="3" fontId="97" fillId="2" borderId="2" xfId="0" applyNumberFormat="1" applyFont="1" applyFill="1" applyBorder="1" applyAlignment="1">
      <alignment horizontal="right" vertical="center" wrapText="1"/>
    </xf>
    <xf numFmtId="0" fontId="97" fillId="2" borderId="2" xfId="8" applyFont="1" applyFill="1" applyBorder="1" applyAlignment="1">
      <alignment horizontal="left" vertical="center" wrapText="1"/>
    </xf>
    <xf numFmtId="0" fontId="97" fillId="2" borderId="2" xfId="0" quotePrefix="1" applyFont="1" applyFill="1" applyBorder="1" applyAlignment="1">
      <alignment horizontal="center" vertical="center" wrapText="1"/>
    </xf>
    <xf numFmtId="0" fontId="97" fillId="2" borderId="2" xfId="0" quotePrefix="1" applyFont="1" applyFill="1" applyBorder="1" applyAlignment="1">
      <alignment vertical="center" wrapText="1"/>
    </xf>
    <xf numFmtId="0" fontId="97" fillId="2" borderId="2" xfId="8" quotePrefix="1" applyFont="1" applyFill="1" applyBorder="1" applyAlignment="1">
      <alignment horizontal="left" vertical="center" wrapText="1"/>
    </xf>
    <xf numFmtId="0" fontId="97" fillId="2" borderId="2" xfId="0" applyFont="1" applyFill="1" applyBorder="1" applyAlignment="1">
      <alignment vertical="center" wrapText="1"/>
    </xf>
    <xf numFmtId="0" fontId="32" fillId="2" borderId="2" xfId="0" applyFont="1" applyFill="1" applyBorder="1" applyAlignment="1">
      <alignment vertical="center" wrapText="1"/>
    </xf>
    <xf numFmtId="0" fontId="32" fillId="2" borderId="2" xfId="0" applyFont="1" applyFill="1" applyBorder="1" applyAlignment="1">
      <alignment horizontal="center" vertical="center"/>
    </xf>
    <xf numFmtId="0" fontId="97" fillId="2" borderId="2" xfId="0" applyFont="1" applyFill="1" applyBorder="1" applyAlignment="1">
      <alignment horizontal="center" vertical="center"/>
    </xf>
    <xf numFmtId="0" fontId="98" fillId="2" borderId="2" xfId="0" applyFont="1" applyFill="1" applyBorder="1" applyAlignment="1">
      <alignment vertical="center" wrapText="1"/>
    </xf>
    <xf numFmtId="0" fontId="98" fillId="2" borderId="2" xfId="0" applyFont="1" applyFill="1" applyBorder="1" applyAlignment="1">
      <alignment horizontal="center" vertical="center"/>
    </xf>
    <xf numFmtId="0" fontId="98" fillId="2" borderId="2" xfId="0" applyFont="1" applyFill="1" applyBorder="1" applyAlignment="1">
      <alignment horizontal="center" vertical="center" wrapText="1"/>
    </xf>
    <xf numFmtId="3" fontId="98" fillId="2" borderId="2" xfId="0" applyNumberFormat="1" applyFont="1" applyFill="1" applyBorder="1" applyAlignment="1">
      <alignment horizontal="right" vertical="center" wrapText="1"/>
    </xf>
    <xf numFmtId="0" fontId="98" fillId="2" borderId="2" xfId="0" quotePrefix="1" applyFont="1" applyFill="1" applyBorder="1" applyAlignment="1">
      <alignment vertical="center" wrapText="1"/>
    </xf>
    <xf numFmtId="0" fontId="98" fillId="2" borderId="2" xfId="0" quotePrefix="1" applyFont="1" applyFill="1" applyBorder="1" applyAlignment="1">
      <alignment horizontal="center" vertical="center" wrapText="1"/>
    </xf>
    <xf numFmtId="0" fontId="99" fillId="2" borderId="2" xfId="0" applyFont="1" applyFill="1" applyBorder="1" applyAlignment="1">
      <alignment horizontal="center" vertical="center" wrapText="1"/>
    </xf>
    <xf numFmtId="3" fontId="99" fillId="2" borderId="2" xfId="0" applyNumberFormat="1" applyFont="1" applyFill="1" applyBorder="1" applyAlignment="1">
      <alignment horizontal="right" vertical="center" wrapText="1"/>
    </xf>
    <xf numFmtId="3" fontId="32" fillId="2" borderId="2" xfId="0" applyNumberFormat="1" applyFont="1" applyFill="1" applyBorder="1" applyAlignment="1">
      <alignment horizontal="right" vertical="center" wrapText="1"/>
    </xf>
    <xf numFmtId="0" fontId="97" fillId="0" borderId="2" xfId="0" applyFont="1" applyFill="1" applyBorder="1" applyAlignment="1">
      <alignment horizontal="center" vertical="center" wrapText="1"/>
    </xf>
    <xf numFmtId="0" fontId="97" fillId="0" borderId="2" xfId="0" applyFont="1" applyFill="1" applyBorder="1" applyAlignment="1">
      <alignment vertical="center" wrapText="1"/>
    </xf>
    <xf numFmtId="3" fontId="97" fillId="0" borderId="2" xfId="0" applyNumberFormat="1" applyFont="1" applyFill="1" applyBorder="1" applyAlignment="1">
      <alignment horizontal="right" vertical="center" wrapText="1"/>
    </xf>
    <xf numFmtId="0" fontId="97" fillId="2" borderId="5" xfId="0" applyFont="1" applyFill="1" applyBorder="1" applyAlignment="1">
      <alignment horizontal="center" vertical="center" wrapText="1"/>
    </xf>
    <xf numFmtId="3" fontId="97" fillId="2" borderId="5" xfId="0" applyNumberFormat="1" applyFont="1" applyFill="1" applyBorder="1" applyAlignment="1">
      <alignment horizontal="right" vertical="center" wrapText="1"/>
    </xf>
    <xf numFmtId="3" fontId="32" fillId="2" borderId="5"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8" xfId="0" applyFont="1" applyFill="1" applyBorder="1" applyAlignment="1">
      <alignment vertical="center" wrapText="1"/>
    </xf>
    <xf numFmtId="0" fontId="97" fillId="2" borderId="8" xfId="0" applyFont="1" applyFill="1" applyBorder="1" applyAlignment="1">
      <alignment horizontal="center" vertical="center" wrapText="1"/>
    </xf>
    <xf numFmtId="3" fontId="97" fillId="2" borderId="8" xfId="0" applyNumberFormat="1" applyFont="1" applyFill="1" applyBorder="1" applyAlignment="1">
      <alignment horizontal="right" vertical="center" wrapText="1"/>
    </xf>
    <xf numFmtId="3" fontId="32" fillId="2" borderId="8" xfId="0" applyNumberFormat="1" applyFont="1" applyFill="1" applyBorder="1" applyAlignment="1">
      <alignment horizontal="center" vertical="center" wrapText="1"/>
    </xf>
    <xf numFmtId="0" fontId="97" fillId="2" borderId="5" xfId="0" applyFont="1" applyFill="1" applyBorder="1" applyAlignment="1">
      <alignment vertical="center" wrapText="1"/>
    </xf>
    <xf numFmtId="0" fontId="97" fillId="2" borderId="3" xfId="0" applyFont="1" applyFill="1" applyBorder="1" applyAlignment="1">
      <alignment horizontal="center" vertical="center" wrapText="1"/>
    </xf>
    <xf numFmtId="0" fontId="97" fillId="2" borderId="3" xfId="0" applyFont="1" applyFill="1" applyBorder="1" applyAlignment="1">
      <alignment vertical="center" wrapText="1"/>
    </xf>
    <xf numFmtId="3" fontId="97" fillId="2" borderId="3" xfId="0" applyNumberFormat="1" applyFont="1" applyFill="1" applyBorder="1" applyAlignment="1">
      <alignment horizontal="right" vertical="center" wrapText="1"/>
    </xf>
    <xf numFmtId="3" fontId="32" fillId="2" borderId="5" xfId="0" applyNumberFormat="1" applyFont="1" applyFill="1" applyBorder="1" applyAlignment="1">
      <alignment horizontal="right" vertical="center" wrapText="1"/>
    </xf>
    <xf numFmtId="0" fontId="97" fillId="0" borderId="2" xfId="0" quotePrefix="1" applyFont="1" applyFill="1" applyBorder="1" applyAlignment="1">
      <alignment vertical="center" wrapText="1"/>
    </xf>
    <xf numFmtId="0" fontId="14" fillId="0" borderId="1" xfId="0" applyFont="1" applyFill="1" applyBorder="1" applyAlignment="1">
      <alignment horizontal="center" vertical="center" wrapText="1"/>
    </xf>
    <xf numFmtId="0" fontId="100" fillId="0" borderId="0" xfId="0" applyFont="1" applyFill="1"/>
    <xf numFmtId="3" fontId="32" fillId="2" borderId="6" xfId="0" applyNumberFormat="1" applyFont="1" applyFill="1" applyBorder="1" applyAlignment="1">
      <alignment horizontal="center" vertical="center" wrapText="1"/>
    </xf>
    <xf numFmtId="3" fontId="97" fillId="2" borderId="2" xfId="0" applyNumberFormat="1" applyFont="1" applyFill="1" applyBorder="1" applyAlignment="1">
      <alignment horizontal="center" vertical="center" wrapText="1"/>
    </xf>
    <xf numFmtId="3" fontId="97" fillId="0" borderId="2" xfId="0" applyNumberFormat="1" applyFont="1" applyFill="1" applyBorder="1" applyAlignment="1">
      <alignment horizontal="center" vertical="center" wrapText="1"/>
    </xf>
    <xf numFmtId="3" fontId="98" fillId="2" borderId="2" xfId="0" applyNumberFormat="1" applyFont="1" applyFill="1" applyBorder="1" applyAlignment="1">
      <alignment horizontal="center" vertical="center" wrapText="1"/>
    </xf>
    <xf numFmtId="3" fontId="99" fillId="2" borderId="2" xfId="0" applyNumberFormat="1" applyFont="1" applyFill="1" applyBorder="1" applyAlignment="1">
      <alignment horizontal="center" vertical="center" wrapText="1"/>
    </xf>
    <xf numFmtId="3" fontId="32" fillId="2" borderId="2" xfId="0" applyNumberFormat="1" applyFont="1" applyFill="1" applyBorder="1" applyAlignment="1">
      <alignment horizontal="center" vertical="center" wrapText="1"/>
    </xf>
    <xf numFmtId="3" fontId="32" fillId="2" borderId="4" xfId="0" applyNumberFormat="1" applyFont="1" applyFill="1" applyBorder="1" applyAlignment="1">
      <alignment horizontal="center" vertical="center" wrapText="1"/>
    </xf>
    <xf numFmtId="3" fontId="97" fillId="0" borderId="4" xfId="0" applyNumberFormat="1" applyFont="1" applyFill="1" applyBorder="1" applyAlignment="1">
      <alignment horizontal="center" vertical="center" wrapText="1"/>
    </xf>
    <xf numFmtId="3" fontId="97" fillId="2" borderId="4" xfId="0" applyNumberFormat="1" applyFont="1" applyFill="1" applyBorder="1" applyAlignment="1">
      <alignment horizontal="center" vertical="center" wrapText="1"/>
    </xf>
    <xf numFmtId="3" fontId="97" fillId="2" borderId="3" xfId="0" applyNumberFormat="1" applyFont="1" applyFill="1" applyBorder="1" applyAlignment="1">
      <alignment horizontal="center" vertical="center" wrapText="1"/>
    </xf>
    <xf numFmtId="3" fontId="97" fillId="2" borderId="5" xfId="0" applyNumberFormat="1" applyFont="1" applyFill="1" applyBorder="1" applyAlignment="1">
      <alignment horizontal="center" vertical="center" wrapText="1"/>
    </xf>
    <xf numFmtId="0" fontId="14" fillId="0" borderId="10" xfId="12" applyFont="1" applyFill="1" applyBorder="1" applyAlignment="1">
      <alignment horizontal="center" vertical="center" wrapText="1"/>
    </xf>
    <xf numFmtId="2" fontId="14" fillId="0" borderId="10" xfId="12" applyNumberFormat="1" applyFont="1" applyFill="1" applyBorder="1" applyAlignment="1">
      <alignment horizontal="center" vertical="center" wrapText="1"/>
    </xf>
    <xf numFmtId="169" fontId="14" fillId="0" borderId="29" xfId="6" applyNumberFormat="1" applyFont="1" applyFill="1" applyBorder="1" applyAlignment="1">
      <alignment horizontal="center" vertical="center" wrapText="1"/>
    </xf>
    <xf numFmtId="0" fontId="14" fillId="0" borderId="6" xfId="12" applyFont="1" applyFill="1" applyBorder="1" applyAlignment="1">
      <alignment horizontal="center" vertical="center" wrapText="1"/>
    </xf>
    <xf numFmtId="0" fontId="14" fillId="0" borderId="6" xfId="12" applyFont="1" applyFill="1" applyBorder="1" applyAlignment="1">
      <alignment horizontal="left" vertical="center" wrapText="1"/>
    </xf>
    <xf numFmtId="2" fontId="14" fillId="0" borderId="6" xfId="12" applyNumberFormat="1" applyFont="1" applyFill="1" applyBorder="1" applyAlignment="1">
      <alignment horizontal="center" vertical="center" wrapText="1"/>
    </xf>
    <xf numFmtId="169" fontId="14" fillId="0" borderId="6" xfId="6" applyNumberFormat="1" applyFont="1" applyFill="1" applyBorder="1" applyAlignment="1">
      <alignment horizontal="center" vertical="center" wrapText="1"/>
    </xf>
    <xf numFmtId="0" fontId="14" fillId="0" borderId="2" xfId="12" applyFont="1" applyFill="1" applyBorder="1" applyAlignment="1">
      <alignment horizontal="center" vertical="center" wrapText="1"/>
    </xf>
    <xf numFmtId="169" fontId="14" fillId="0" borderId="2" xfId="6" applyNumberFormat="1" applyFont="1" applyFill="1" applyBorder="1" applyAlignment="1">
      <alignment horizontal="center" vertical="center" wrapText="1"/>
    </xf>
    <xf numFmtId="0" fontId="9" fillId="0" borderId="2" xfId="3" applyFont="1" applyFill="1" applyBorder="1" applyAlignment="1">
      <alignment horizontal="center" vertical="center" wrapText="1"/>
    </xf>
    <xf numFmtId="0" fontId="14" fillId="0" borderId="2" xfId="3" applyFont="1" applyFill="1" applyBorder="1" applyAlignment="1">
      <alignment horizontal="left" vertical="center" wrapText="1"/>
    </xf>
    <xf numFmtId="0" fontId="14" fillId="0" borderId="2" xfId="3" applyFont="1" applyFill="1" applyBorder="1" applyAlignment="1">
      <alignment horizontal="center" vertical="center" wrapText="1"/>
    </xf>
    <xf numFmtId="164" fontId="9"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2" fontId="9" fillId="0" borderId="2" xfId="6" applyNumberFormat="1"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2" xfId="0" applyFont="1" applyFill="1" applyBorder="1" applyAlignment="1">
      <alignment horizontal="center" vertical="center"/>
    </xf>
    <xf numFmtId="0" fontId="14" fillId="0" borderId="2" xfId="3" quotePrefix="1" applyFont="1" applyFill="1" applyBorder="1" applyAlignment="1">
      <alignment horizontal="left" vertical="center" wrapText="1"/>
    </xf>
    <xf numFmtId="2" fontId="9" fillId="0" borderId="2" xfId="1"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3" quotePrefix="1" applyFont="1" applyFill="1" applyBorder="1" applyAlignment="1">
      <alignment horizontal="left" vertical="center" wrapText="1"/>
    </xf>
    <xf numFmtId="0" fontId="14" fillId="0" borderId="2" xfId="3" applyFont="1" applyFill="1" applyBorder="1" applyAlignment="1">
      <alignment horizontal="center" vertical="center"/>
    </xf>
    <xf numFmtId="0" fontId="14" fillId="0" borderId="2" xfId="3" applyFont="1" applyFill="1" applyBorder="1" applyAlignment="1">
      <alignment vertical="center" wrapText="1"/>
    </xf>
    <xf numFmtId="164" fontId="14" fillId="0" borderId="2" xfId="1" applyFont="1" applyFill="1" applyBorder="1" applyAlignment="1">
      <alignment horizontal="center" vertical="center" wrapText="1"/>
    </xf>
    <xf numFmtId="164" fontId="9" fillId="0" borderId="2" xfId="1" applyFont="1" applyFill="1" applyBorder="1" applyAlignment="1">
      <alignment horizontal="right" vertical="center" wrapText="1"/>
    </xf>
    <xf numFmtId="0" fontId="14"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3" applyFont="1" applyFill="1" applyBorder="1" applyAlignment="1">
      <alignment horizontal="left" vertical="center" wrapText="1"/>
    </xf>
    <xf numFmtId="0" fontId="9" fillId="0" borderId="2" xfId="12" applyFont="1" applyFill="1" applyBorder="1" applyAlignment="1">
      <alignment horizontal="left" vertical="center" wrapText="1"/>
    </xf>
    <xf numFmtId="0" fontId="14" fillId="0" borderId="2"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167" fontId="9" fillId="0" borderId="2" xfId="0" applyNumberFormat="1" applyFont="1" applyFill="1" applyBorder="1" applyAlignment="1">
      <alignment horizontal="center" vertical="center" wrapText="1"/>
    </xf>
    <xf numFmtId="2" fontId="9" fillId="0" borderId="2" xfId="6" applyNumberFormat="1" applyFont="1" applyFill="1" applyBorder="1" applyAlignment="1">
      <alignment horizontal="center"/>
    </xf>
    <xf numFmtId="43" fontId="9" fillId="0" borderId="2" xfId="6" applyFont="1" applyFill="1" applyBorder="1" applyAlignment="1">
      <alignment horizontal="right"/>
    </xf>
    <xf numFmtId="0" fontId="14" fillId="0" borderId="2" xfId="12" applyFont="1" applyFill="1" applyBorder="1" applyAlignment="1">
      <alignment horizontal="center" vertical="center"/>
    </xf>
    <xf numFmtId="0" fontId="14" fillId="0" borderId="2" xfId="12" applyFont="1" applyFill="1" applyBorder="1" applyAlignment="1">
      <alignment vertical="center"/>
    </xf>
    <xf numFmtId="0" fontId="9" fillId="0" borderId="2" xfId="12" applyFont="1" applyFill="1" applyBorder="1" applyAlignment="1">
      <alignment horizontal="center" vertical="center" wrapText="1"/>
    </xf>
    <xf numFmtId="0" fontId="9" fillId="0" borderId="2" xfId="12" applyFont="1" applyFill="1" applyBorder="1" applyAlignment="1">
      <alignment horizontal="center" vertical="center"/>
    </xf>
    <xf numFmtId="2" fontId="9" fillId="0" borderId="2" xfId="12" applyNumberFormat="1" applyFont="1" applyFill="1" applyBorder="1" applyAlignment="1">
      <alignment horizontal="center" vertical="center"/>
    </xf>
    <xf numFmtId="169" fontId="9" fillId="0" borderId="2" xfId="6" applyNumberFormat="1" applyFont="1" applyFill="1" applyBorder="1" applyAlignment="1">
      <alignment vertical="center"/>
    </xf>
    <xf numFmtId="1" fontId="9" fillId="0" borderId="2" xfId="0" applyNumberFormat="1" applyFont="1" applyFill="1" applyBorder="1" applyAlignment="1">
      <alignment horizontal="center" vertical="center" wrapText="1"/>
    </xf>
    <xf numFmtId="170" fontId="9" fillId="0" borderId="2" xfId="4" applyNumberFormat="1" applyFont="1" applyFill="1" applyBorder="1" applyAlignment="1">
      <alignment vertical="center"/>
    </xf>
    <xf numFmtId="173" fontId="9" fillId="0" borderId="2" xfId="13" applyNumberFormat="1" applyFont="1" applyFill="1" applyBorder="1" applyAlignment="1">
      <alignment vertical="center"/>
    </xf>
    <xf numFmtId="0" fontId="9" fillId="0" borderId="2" xfId="12" applyFont="1" applyFill="1" applyBorder="1" applyAlignment="1">
      <alignment vertical="center"/>
    </xf>
    <xf numFmtId="0" fontId="9" fillId="0" borderId="2" xfId="0" applyFont="1" applyFill="1" applyBorder="1" applyAlignment="1">
      <alignment horizontal="left" vertical="top" wrapText="1"/>
    </xf>
    <xf numFmtId="0" fontId="9" fillId="0" borderId="2" xfId="0" applyFont="1" applyFill="1" applyBorder="1" applyAlignment="1" applyProtection="1">
      <alignment vertical="center" wrapText="1"/>
    </xf>
    <xf numFmtId="0" fontId="9" fillId="0" borderId="2" xfId="0" applyFont="1" applyFill="1" applyBorder="1" applyAlignment="1" applyProtection="1">
      <alignment horizontal="center" vertical="center" wrapText="1"/>
    </xf>
    <xf numFmtId="0" fontId="14" fillId="0" borderId="2" xfId="0" applyFont="1" applyFill="1" applyBorder="1" applyAlignment="1">
      <alignment horizontal="left" vertical="top" wrapText="1"/>
    </xf>
    <xf numFmtId="167" fontId="14" fillId="0" borderId="2" xfId="0" applyNumberFormat="1" applyFont="1" applyFill="1" applyBorder="1" applyAlignment="1">
      <alignment horizontal="center" vertical="center" wrapText="1"/>
    </xf>
    <xf numFmtId="170" fontId="14" fillId="0" borderId="2" xfId="4" applyNumberFormat="1" applyFont="1" applyFill="1" applyBorder="1" applyAlignment="1">
      <alignment vertical="center"/>
    </xf>
    <xf numFmtId="173" fontId="14" fillId="0" borderId="2" xfId="13" applyNumberFormat="1" applyFont="1" applyFill="1" applyBorder="1" applyAlignment="1">
      <alignment vertical="center"/>
    </xf>
    <xf numFmtId="2" fontId="9" fillId="0" borderId="2" xfId="6" applyNumberFormat="1"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9" fillId="2" borderId="2" xfId="12" applyFont="1" applyFill="1" applyBorder="1" applyAlignment="1">
      <alignment horizontal="center" vertical="center" wrapText="1"/>
    </xf>
    <xf numFmtId="169" fontId="9" fillId="2" borderId="2" xfId="6" applyNumberFormat="1" applyFont="1" applyFill="1" applyBorder="1" applyAlignment="1">
      <alignment horizontal="right" vertical="center" wrapText="1"/>
    </xf>
    <xf numFmtId="169" fontId="9" fillId="0" borderId="2" xfId="6" applyNumberFormat="1" applyFont="1" applyFill="1" applyBorder="1" applyAlignment="1">
      <alignment vertical="center" wrapText="1"/>
    </xf>
    <xf numFmtId="1" fontId="14" fillId="0" borderId="2" xfId="0" applyNumberFormat="1" applyFont="1" applyFill="1" applyBorder="1" applyAlignment="1">
      <alignment horizontal="center" vertical="center" wrapText="1"/>
    </xf>
    <xf numFmtId="170" fontId="9" fillId="0" borderId="2" xfId="4" quotePrefix="1" applyNumberFormat="1" applyFont="1" applyFill="1" applyBorder="1" applyAlignment="1">
      <alignment horizontal="center" vertical="center"/>
    </xf>
    <xf numFmtId="169" fontId="9" fillId="0" borderId="2" xfId="6" applyNumberFormat="1" applyFont="1" applyFill="1" applyBorder="1" applyAlignment="1">
      <alignment horizontal="right" vertical="center" wrapText="1"/>
    </xf>
    <xf numFmtId="0" fontId="9" fillId="0" borderId="2" xfId="0" quotePrefix="1" applyFont="1" applyFill="1" applyBorder="1" applyAlignment="1">
      <alignment horizontal="left" vertical="center" wrapText="1"/>
    </xf>
    <xf numFmtId="0" fontId="14" fillId="0" borderId="2" xfId="0" quotePrefix="1" applyFont="1" applyFill="1" applyBorder="1" applyAlignment="1">
      <alignment horizontal="justify" vertical="center" wrapText="1"/>
    </xf>
    <xf numFmtId="0" fontId="9" fillId="0" borderId="2" xfId="0" quotePrefix="1" applyFont="1" applyFill="1" applyBorder="1" applyAlignment="1">
      <alignment horizontal="justify" vertical="center" wrapText="1"/>
    </xf>
    <xf numFmtId="2" fontId="14" fillId="0" borderId="2" xfId="12" applyNumberFormat="1" applyFont="1" applyFill="1" applyBorder="1" applyAlignment="1">
      <alignment horizontal="center" vertical="center" wrapText="1"/>
    </xf>
    <xf numFmtId="2" fontId="9" fillId="0" borderId="2" xfId="12"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175" fontId="9" fillId="0" borderId="2" xfId="14" applyNumberFormat="1" applyFont="1" applyFill="1" applyBorder="1" applyAlignment="1">
      <alignment horizontal="center" vertical="center" wrapText="1"/>
    </xf>
    <xf numFmtId="3" fontId="9" fillId="0" borderId="2" xfId="13" applyNumberFormat="1" applyFont="1" applyFill="1" applyBorder="1" applyAlignment="1">
      <alignment horizontal="right" vertical="center"/>
    </xf>
    <xf numFmtId="169" fontId="9" fillId="0" borderId="2" xfId="1" applyNumberFormat="1" applyFont="1" applyFill="1" applyBorder="1" applyAlignment="1">
      <alignment horizontal="right" vertical="center" wrapText="1"/>
    </xf>
    <xf numFmtId="0" fontId="9" fillId="0" borderId="2" xfId="15" applyFont="1" applyFill="1" applyBorder="1" applyAlignment="1">
      <alignment horizontal="left" vertical="center" wrapText="1"/>
    </xf>
    <xf numFmtId="2" fontId="28" fillId="0" borderId="2" xfId="1" applyNumberFormat="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169" fontId="14" fillId="0" borderId="2" xfId="6" applyNumberFormat="1" applyFont="1" applyFill="1" applyBorder="1" applyAlignment="1">
      <alignment horizontal="right" vertical="center" wrapText="1"/>
    </xf>
    <xf numFmtId="0" fontId="9" fillId="2" borderId="2" xfId="12" applyFont="1" applyFill="1" applyBorder="1" applyAlignment="1">
      <alignment horizontal="center" vertical="center"/>
    </xf>
    <xf numFmtId="2" fontId="9" fillId="2" borderId="2" xfId="0" applyNumberFormat="1" applyFont="1" applyFill="1" applyBorder="1" applyAlignment="1">
      <alignment horizontal="center" vertical="center" wrapText="1"/>
    </xf>
    <xf numFmtId="169" fontId="9" fillId="2" borderId="2" xfId="6" applyNumberFormat="1" applyFont="1" applyFill="1" applyBorder="1" applyAlignment="1">
      <alignment horizontal="center" vertical="center" wrapText="1"/>
    </xf>
    <xf numFmtId="0" fontId="9" fillId="0" borderId="8" xfId="12" applyFont="1" applyFill="1" applyBorder="1" applyAlignment="1">
      <alignment horizontal="center" vertical="center"/>
    </xf>
    <xf numFmtId="0" fontId="9" fillId="0" borderId="8" xfId="12" applyFont="1" applyFill="1" applyBorder="1" applyAlignment="1">
      <alignment vertical="center"/>
    </xf>
    <xf numFmtId="0" fontId="9" fillId="0" borderId="8" xfId="12" applyFont="1" applyFill="1" applyBorder="1" applyAlignment="1">
      <alignment horizontal="center" vertical="center" wrapText="1"/>
    </xf>
    <xf numFmtId="2" fontId="9" fillId="0" borderId="8" xfId="12" applyNumberFormat="1" applyFont="1" applyFill="1" applyBorder="1" applyAlignment="1">
      <alignment horizontal="center" vertical="center"/>
    </xf>
    <xf numFmtId="169" fontId="9" fillId="0" borderId="8" xfId="6" applyNumberFormat="1" applyFont="1" applyFill="1" applyBorder="1" applyAlignment="1">
      <alignment vertical="center"/>
    </xf>
    <xf numFmtId="0" fontId="9" fillId="0" borderId="1" xfId="12" applyFont="1" applyFill="1" applyBorder="1" applyAlignment="1">
      <alignment horizontal="center" vertical="center"/>
    </xf>
    <xf numFmtId="0" fontId="14" fillId="0" borderId="1" xfId="12" applyFont="1" applyFill="1" applyBorder="1" applyAlignment="1">
      <alignment horizontal="center" vertical="center"/>
    </xf>
    <xf numFmtId="0" fontId="9" fillId="0" borderId="1" xfId="12" applyFont="1" applyFill="1" applyBorder="1" applyAlignment="1">
      <alignment horizontal="center" vertical="center" wrapText="1"/>
    </xf>
    <xf numFmtId="0" fontId="9" fillId="0" borderId="9" xfId="0" applyFont="1" applyFill="1" applyBorder="1"/>
    <xf numFmtId="2" fontId="9" fillId="0" borderId="1" xfId="12" applyNumberFormat="1" applyFont="1" applyFill="1" applyBorder="1" applyAlignment="1">
      <alignment horizontal="center" vertical="center"/>
    </xf>
    <xf numFmtId="169" fontId="9" fillId="0" borderId="1" xfId="6" applyNumberFormat="1" applyFont="1" applyFill="1" applyBorder="1" applyAlignment="1">
      <alignment horizontal="center" vertical="center"/>
    </xf>
    <xf numFmtId="169" fontId="14" fillId="0" borderId="1" xfId="6" applyNumberFormat="1" applyFont="1" applyFill="1" applyBorder="1" applyAlignment="1">
      <alignment horizontal="right" vertical="center"/>
    </xf>
    <xf numFmtId="0" fontId="14" fillId="0" borderId="2" xfId="0" applyFont="1" applyFill="1" applyBorder="1" applyAlignment="1">
      <alignment vertical="center"/>
    </xf>
    <xf numFmtId="0" fontId="9" fillId="0" borderId="2" xfId="0" applyFont="1" applyFill="1" applyBorder="1" applyAlignment="1">
      <alignment horizontal="justify" vertical="center"/>
    </xf>
    <xf numFmtId="0" fontId="9" fillId="0" borderId="2" xfId="0" quotePrefix="1" applyFont="1" applyFill="1" applyBorder="1" applyAlignment="1">
      <alignment horizontal="justify" vertical="center"/>
    </xf>
    <xf numFmtId="2" fontId="14" fillId="0" borderId="2" xfId="6" applyNumberFormat="1" applyFont="1" applyFill="1" applyBorder="1" applyAlignment="1">
      <alignment vertical="center" wrapText="1"/>
    </xf>
    <xf numFmtId="2" fontId="14" fillId="0" borderId="2" xfId="6" applyNumberFormat="1" applyFont="1" applyFill="1" applyBorder="1" applyAlignment="1">
      <alignment horizontal="center" vertical="center" wrapText="1"/>
    </xf>
    <xf numFmtId="43" fontId="9" fillId="0" borderId="2" xfId="6" applyFont="1" applyFill="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justify" vertical="center" wrapText="1"/>
    </xf>
    <xf numFmtId="0" fontId="14"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2" xfId="0" applyFont="1" applyFill="1" applyBorder="1" applyAlignment="1">
      <alignment wrapText="1"/>
    </xf>
    <xf numFmtId="0" fontId="9" fillId="0" borderId="2" xfId="0" quotePrefix="1" applyFont="1" applyFill="1" applyBorder="1" applyAlignment="1">
      <alignment vertical="center" wrapText="1"/>
    </xf>
    <xf numFmtId="0" fontId="46" fillId="0" borderId="2" xfId="0" applyFont="1" applyFill="1" applyBorder="1" applyAlignment="1">
      <alignment vertical="center" wrapText="1"/>
    </xf>
    <xf numFmtId="0" fontId="46" fillId="0" borderId="2" xfId="0" applyFont="1" applyFill="1" applyBorder="1" applyAlignment="1">
      <alignment horizontal="justify" vertical="center" wrapText="1"/>
    </xf>
    <xf numFmtId="0" fontId="46" fillId="0" borderId="2" xfId="0" applyFont="1" applyBorder="1" applyAlignment="1">
      <alignment vertical="center" wrapText="1"/>
    </xf>
    <xf numFmtId="0" fontId="9" fillId="0" borderId="2" xfId="0" quotePrefix="1" applyFont="1" applyFill="1" applyBorder="1" applyAlignment="1">
      <alignment horizontal="center" vertical="center" wrapText="1"/>
    </xf>
    <xf numFmtId="0" fontId="46" fillId="0" borderId="2" xfId="0" applyFont="1" applyBorder="1" applyAlignment="1">
      <alignment horizontal="center" vertical="center"/>
    </xf>
    <xf numFmtId="0" fontId="9" fillId="0" borderId="2" xfId="0" applyFont="1" applyFill="1" applyBorder="1" applyAlignment="1">
      <alignment vertical="center"/>
    </xf>
    <xf numFmtId="0" fontId="46" fillId="0" borderId="2" xfId="0" applyFont="1" applyBorder="1" applyAlignment="1">
      <alignment wrapText="1"/>
    </xf>
    <xf numFmtId="0" fontId="46" fillId="0" borderId="2" xfId="0" applyFont="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quotePrefix="1" applyFont="1" applyFill="1" applyBorder="1" applyAlignment="1">
      <alignment horizontal="justify" vertical="center" wrapText="1"/>
    </xf>
    <xf numFmtId="165"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xf>
    <xf numFmtId="4" fontId="3" fillId="2" borderId="2" xfId="0" applyNumberFormat="1" applyFont="1" applyFill="1" applyBorder="1" applyAlignment="1">
      <alignment horizontal="center"/>
    </xf>
    <xf numFmtId="0" fontId="3" fillId="2" borderId="2" xfId="0" quotePrefix="1" applyFont="1" applyFill="1" applyBorder="1" applyAlignment="1">
      <alignment vertical="center" wrapText="1"/>
    </xf>
    <xf numFmtId="0" fontId="3" fillId="2" borderId="3" xfId="0" quotePrefix="1" applyFont="1" applyFill="1" applyBorder="1" applyAlignment="1">
      <alignment vertical="center" wrapText="1"/>
    </xf>
    <xf numFmtId="0" fontId="4" fillId="2" borderId="2" xfId="0" applyFont="1" applyFill="1" applyBorder="1" applyAlignment="1">
      <alignment horizontal="center"/>
    </xf>
    <xf numFmtId="0" fontId="4" fillId="2" borderId="2" xfId="0" applyFont="1" applyFill="1" applyBorder="1" applyAlignment="1">
      <alignment vertical="center" wrapText="1"/>
    </xf>
    <xf numFmtId="0" fontId="3" fillId="2" borderId="3" xfId="0" applyFont="1" applyFill="1" applyBorder="1" applyAlignment="1">
      <alignment horizontal="center"/>
    </xf>
    <xf numFmtId="4" fontId="3" fillId="2" borderId="3" xfId="0" applyNumberFormat="1" applyFont="1" applyFill="1" applyBorder="1" applyAlignment="1">
      <alignment horizontal="center"/>
    </xf>
    <xf numFmtId="0" fontId="3" fillId="2" borderId="2" xfId="2" quotePrefix="1" applyFont="1" applyFill="1" applyBorder="1" applyAlignment="1">
      <alignment vertical="center" wrapText="1"/>
    </xf>
    <xf numFmtId="166"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wrapText="1"/>
    </xf>
    <xf numFmtId="0" fontId="3" fillId="2" borderId="2" xfId="0" applyFont="1" applyFill="1" applyBorder="1" applyAlignment="1">
      <alignment wrapText="1"/>
    </xf>
    <xf numFmtId="0" fontId="3" fillId="3" borderId="2" xfId="0" applyFont="1" applyFill="1" applyBorder="1" applyAlignment="1">
      <alignment horizontal="center"/>
    </xf>
    <xf numFmtId="4" fontId="3" fillId="3" borderId="2" xfId="0" applyNumberFormat="1" applyFont="1" applyFill="1" applyBorder="1" applyAlignment="1">
      <alignment horizontal="center"/>
    </xf>
    <xf numFmtId="0" fontId="3" fillId="3" borderId="2" xfId="0" quotePrefix="1" applyFont="1" applyFill="1" applyBorder="1" applyAlignment="1">
      <alignment wrapText="1"/>
    </xf>
    <xf numFmtId="0" fontId="3" fillId="2" borderId="2" xfId="0" applyFont="1" applyFill="1" applyBorder="1" applyAlignment="1">
      <alignment horizontal="left" vertical="center" wrapText="1"/>
    </xf>
    <xf numFmtId="0" fontId="3" fillId="3" borderId="2" xfId="0" applyFont="1" applyFill="1" applyBorder="1" applyAlignment="1">
      <alignment horizontal="center" vertical="center"/>
    </xf>
    <xf numFmtId="4" fontId="3" fillId="3" borderId="2" xfId="0" applyNumberFormat="1" applyFont="1" applyFill="1" applyBorder="1" applyAlignment="1">
      <alignment horizontal="center" vertical="center"/>
    </xf>
    <xf numFmtId="0" fontId="3" fillId="3" borderId="4" xfId="0" quotePrefix="1" applyFont="1" applyFill="1" applyBorder="1" applyAlignment="1">
      <alignment wrapText="1"/>
    </xf>
    <xf numFmtId="0" fontId="4" fillId="2" borderId="4" xfId="0" applyFont="1" applyFill="1" applyBorder="1" applyAlignment="1">
      <alignment horizontal="justify" vertical="center" wrapText="1"/>
    </xf>
    <xf numFmtId="0" fontId="3" fillId="2" borderId="4" xfId="0" applyFont="1" applyFill="1" applyBorder="1" applyAlignment="1">
      <alignment horizontal="justify" vertical="center" wrapText="1"/>
    </xf>
    <xf numFmtId="167" fontId="3" fillId="2" borderId="2" xfId="0" applyNumberFormat="1" applyFont="1" applyFill="1" applyBorder="1" applyAlignment="1">
      <alignment horizontal="center" vertical="center" wrapText="1"/>
    </xf>
    <xf numFmtId="0" fontId="3" fillId="0" borderId="2" xfId="0" quotePrefix="1" applyFont="1" applyBorder="1" applyAlignment="1">
      <alignment wrapText="1" shrinkToFit="1"/>
    </xf>
    <xf numFmtId="0" fontId="4" fillId="2" borderId="2" xfId="0" applyFont="1" applyFill="1" applyBorder="1" applyAlignment="1">
      <alignment horizontal="left" vertical="center" wrapText="1"/>
    </xf>
    <xf numFmtId="0" fontId="3" fillId="2" borderId="2" xfId="2" applyFont="1" applyFill="1" applyBorder="1" applyAlignment="1">
      <alignment vertical="center" wrapText="1"/>
    </xf>
    <xf numFmtId="0" fontId="4" fillId="0" borderId="2" xfId="0" applyFont="1" applyBorder="1" applyAlignment="1">
      <alignment shrinkToFit="1"/>
    </xf>
    <xf numFmtId="0" fontId="3" fillId="0" borderId="2" xfId="0" applyFont="1" applyBorder="1" applyAlignment="1">
      <alignment vertical="center" wrapText="1" shrinkToFit="1"/>
    </xf>
    <xf numFmtId="0" fontId="3" fillId="0" borderId="2" xfId="0" applyFont="1" applyBorder="1" applyAlignment="1">
      <alignment horizontal="center" vertical="center" shrinkToFit="1"/>
    </xf>
    <xf numFmtId="0" fontId="3" fillId="0" borderId="2" xfId="0" applyFont="1" applyBorder="1" applyAlignment="1">
      <alignment wrapText="1" shrinkToFit="1"/>
    </xf>
    <xf numFmtId="0" fontId="4" fillId="2" borderId="2" xfId="0" quotePrefix="1" applyFont="1" applyFill="1" applyBorder="1" applyAlignment="1">
      <alignment vertical="center" wrapText="1"/>
    </xf>
    <xf numFmtId="0" fontId="3" fillId="0" borderId="2" xfId="0" applyFont="1" applyFill="1" applyBorder="1" applyAlignment="1">
      <alignment horizontal="center"/>
    </xf>
    <xf numFmtId="4" fontId="3" fillId="0" borderId="2" xfId="0" applyNumberFormat="1" applyFont="1" applyFill="1" applyBorder="1" applyAlignment="1">
      <alignment horizontal="center"/>
    </xf>
    <xf numFmtId="4" fontId="3" fillId="0" borderId="2" xfId="0" applyNumberFormat="1" applyFont="1" applyFill="1" applyBorder="1" applyAlignment="1">
      <alignment horizontal="center" vertical="center"/>
    </xf>
    <xf numFmtId="3" fontId="3" fillId="2" borderId="3" xfId="0" applyNumberFormat="1" applyFont="1" applyFill="1" applyBorder="1" applyAlignment="1">
      <alignment horizontal="center"/>
    </xf>
    <xf numFmtId="0" fontId="4" fillId="2" borderId="2" xfId="0" applyFont="1" applyFill="1" applyBorder="1" applyAlignment="1">
      <alignment horizontal="justify" vertical="center" wrapText="1"/>
    </xf>
    <xf numFmtId="0" fontId="3" fillId="0" borderId="2" xfId="0" applyFont="1" applyBorder="1" applyAlignment="1">
      <alignment horizontal="center" vertical="top" shrinkToFit="1"/>
    </xf>
    <xf numFmtId="165" fontId="3" fillId="2" borderId="2" xfId="0" applyNumberFormat="1" applyFont="1" applyFill="1" applyBorder="1" applyAlignment="1">
      <alignment horizontal="center" vertical="top" wrapText="1"/>
    </xf>
    <xf numFmtId="0" fontId="4" fillId="2" borderId="2" xfId="0" quotePrefix="1" applyFont="1" applyFill="1" applyBorder="1" applyAlignment="1">
      <alignment horizontal="left" vertical="center" wrapText="1"/>
    </xf>
    <xf numFmtId="0" fontId="3" fillId="0" borderId="2" xfId="0" applyFont="1" applyBorder="1" applyAlignment="1">
      <alignment shrinkToFit="1"/>
    </xf>
    <xf numFmtId="0" fontId="4" fillId="2" borderId="1" xfId="0" applyFont="1" applyFill="1" applyBorder="1" applyAlignment="1">
      <alignment horizontal="justify"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shrinkToFit="1"/>
    </xf>
    <xf numFmtId="0" fontId="3" fillId="0" borderId="2" xfId="0" applyFont="1" applyBorder="1" applyAlignment="1">
      <alignment horizontal="left" vertical="center" wrapText="1"/>
    </xf>
    <xf numFmtId="2" fontId="3" fillId="3"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shrinkToFit="1"/>
    </xf>
    <xf numFmtId="2" fontId="3" fillId="2" borderId="2" xfId="0" applyNumberFormat="1" applyFont="1" applyFill="1" applyBorder="1" applyAlignment="1">
      <alignment horizontal="center" vertical="center" wrapText="1"/>
    </xf>
    <xf numFmtId="0" fontId="3" fillId="2" borderId="2" xfId="0" quotePrefix="1" applyFont="1" applyFill="1" applyBorder="1" applyAlignment="1">
      <alignment horizontal="justify" vertical="center" wrapText="1"/>
    </xf>
    <xf numFmtId="2" fontId="3" fillId="2" borderId="2" xfId="0" applyNumberFormat="1" applyFont="1" applyFill="1" applyBorder="1" applyAlignment="1">
      <alignment horizontal="center"/>
    </xf>
    <xf numFmtId="0" fontId="3" fillId="2" borderId="2" xfId="0" applyFont="1" applyFill="1" applyBorder="1" applyAlignment="1">
      <alignment horizontal="center" vertical="top" wrapText="1"/>
    </xf>
    <xf numFmtId="49" fontId="3" fillId="0" borderId="2" xfId="0" applyNumberFormat="1" applyFont="1" applyBorder="1" applyAlignment="1">
      <alignment horizontal="left" vertical="center" shrinkToFit="1"/>
    </xf>
    <xf numFmtId="2" fontId="3" fillId="0" borderId="2" xfId="0" applyNumberFormat="1" applyFont="1" applyBorder="1" applyAlignment="1">
      <alignment horizontal="center" vertical="center" wrapText="1"/>
    </xf>
    <xf numFmtId="168" fontId="3" fillId="2" borderId="2" xfId="0" applyNumberFormat="1" applyFont="1" applyFill="1" applyBorder="1" applyAlignment="1">
      <alignment horizontal="center" vertical="center"/>
    </xf>
    <xf numFmtId="0" fontId="3" fillId="0" borderId="2" xfId="0" applyFont="1" applyBorder="1" applyAlignment="1">
      <alignment wrapText="1"/>
    </xf>
    <xf numFmtId="0" fontId="3" fillId="2" borderId="2" xfId="0" applyFont="1" applyFill="1" applyBorder="1" applyAlignment="1">
      <alignment horizontal="center" wrapText="1"/>
    </xf>
    <xf numFmtId="0" fontId="3" fillId="0" borderId="2" xfId="0" applyFont="1" applyBorder="1" applyAlignment="1">
      <alignment horizontal="center"/>
    </xf>
    <xf numFmtId="4" fontId="3" fillId="0" borderId="2" xfId="0" applyNumberFormat="1" applyFont="1" applyBorder="1" applyAlignment="1">
      <alignment horizontal="center"/>
    </xf>
    <xf numFmtId="1" fontId="3" fillId="2" borderId="2" xfId="0" applyNumberFormat="1" applyFont="1" applyFill="1" applyBorder="1" applyAlignment="1">
      <alignment horizontal="center" wrapText="1"/>
    </xf>
    <xf numFmtId="0" fontId="3" fillId="0" borderId="2" xfId="0" applyFont="1" applyBorder="1" applyAlignment="1">
      <alignment horizontal="center" shrinkToFit="1"/>
    </xf>
    <xf numFmtId="1" fontId="3" fillId="2" borderId="2"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xf>
    <xf numFmtId="0" fontId="3" fillId="2" borderId="2" xfId="0" applyFont="1" applyFill="1" applyBorder="1" applyAlignment="1">
      <alignment horizontal="center" shrinkToFit="1"/>
    </xf>
    <xf numFmtId="0" fontId="4" fillId="2" borderId="5" xfId="0" applyFont="1" applyFill="1" applyBorder="1" applyAlignment="1">
      <alignment horizontal="center"/>
    </xf>
    <xf numFmtId="0" fontId="3" fillId="0" borderId="5" xfId="0" applyFont="1" applyBorder="1" applyAlignment="1">
      <alignment shrinkToFi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wrapText="1"/>
    </xf>
    <xf numFmtId="0" fontId="3" fillId="0" borderId="5" xfId="0" applyFont="1" applyFill="1" applyBorder="1" applyAlignment="1">
      <alignment horizontal="center"/>
    </xf>
    <xf numFmtId="4" fontId="3" fillId="0" borderId="5" xfId="0" applyNumberFormat="1" applyFont="1" applyFill="1" applyBorder="1" applyAlignment="1">
      <alignment horizontal="center"/>
    </xf>
    <xf numFmtId="0" fontId="4" fillId="0" borderId="3" xfId="0" applyFont="1" applyFill="1" applyBorder="1" applyAlignment="1">
      <alignment horizontal="left" vertical="center" wrapText="1"/>
    </xf>
    <xf numFmtId="0" fontId="29" fillId="0" borderId="2" xfId="0" quotePrefix="1" applyFont="1" applyFill="1" applyBorder="1" applyAlignment="1">
      <alignment horizontal="center" vertical="center" wrapText="1"/>
    </xf>
    <xf numFmtId="0" fontId="30" fillId="0" borderId="2" xfId="0" quotePrefix="1" applyFont="1" applyFill="1" applyBorder="1" applyAlignment="1">
      <alignment horizontal="center" vertical="center" wrapText="1"/>
    </xf>
    <xf numFmtId="0" fontId="3" fillId="0" borderId="2" xfId="3" quotePrefix="1" applyFont="1" applyFill="1" applyBorder="1" applyAlignment="1">
      <alignment vertical="center" wrapText="1"/>
    </xf>
    <xf numFmtId="0" fontId="4" fillId="0" borderId="2" xfId="3" quotePrefix="1" applyFont="1" applyFill="1" applyBorder="1" applyAlignment="1">
      <alignment vertical="center" wrapText="1"/>
    </xf>
    <xf numFmtId="0" fontId="90" fillId="0" borderId="2" xfId="0" applyFont="1" applyFill="1" applyBorder="1" applyAlignment="1">
      <alignment horizontal="center" vertical="center" wrapText="1"/>
    </xf>
    <xf numFmtId="0" fontId="90" fillId="0" borderId="2" xfId="3" quotePrefix="1" applyFont="1" applyFill="1" applyBorder="1" applyAlignment="1">
      <alignment vertical="center" wrapText="1"/>
    </xf>
    <xf numFmtId="0" fontId="34" fillId="0" borderId="2" xfId="0" applyFont="1" applyFill="1" applyBorder="1" applyAlignment="1">
      <alignment horizontal="center" vertical="center" wrapText="1"/>
    </xf>
    <xf numFmtId="0" fontId="34" fillId="0" borderId="2" xfId="3" quotePrefix="1" applyFont="1" applyFill="1" applyBorder="1" applyAlignment="1">
      <alignment vertical="center" wrapText="1"/>
    </xf>
    <xf numFmtId="0" fontId="34" fillId="0" borderId="2" xfId="0" applyFont="1" applyFill="1" applyBorder="1" applyAlignment="1">
      <alignment vertical="center" wrapText="1"/>
    </xf>
    <xf numFmtId="0" fontId="34" fillId="0" borderId="2" xfId="0" quotePrefix="1"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29" fillId="0" borderId="2" xfId="0" quotePrefix="1" applyFont="1" applyFill="1" applyBorder="1" applyAlignment="1">
      <alignment horizontal="left" vertical="center" wrapText="1"/>
    </xf>
    <xf numFmtId="0" fontId="3" fillId="0" borderId="2" xfId="7" applyFont="1" applyFill="1" applyBorder="1" applyAlignment="1">
      <alignment horizontal="left" vertical="center" wrapText="1"/>
    </xf>
    <xf numFmtId="0" fontId="3" fillId="0" borderId="2" xfId="7" applyFont="1" applyFill="1" applyBorder="1" applyAlignment="1">
      <alignment horizontal="center" vertical="center" wrapText="1"/>
    </xf>
    <xf numFmtId="0" fontId="4" fillId="0" borderId="2" xfId="7" applyFont="1" applyFill="1" applyBorder="1" applyAlignment="1">
      <alignment horizontal="left" vertical="center" wrapText="1"/>
    </xf>
    <xf numFmtId="0" fontId="4" fillId="0" borderId="2" xfId="7" applyFont="1" applyFill="1" applyBorder="1" applyAlignment="1">
      <alignment horizontal="center" vertical="center" wrapText="1"/>
    </xf>
    <xf numFmtId="0" fontId="29" fillId="0" borderId="2" xfId="7" applyFont="1" applyFill="1" applyBorder="1" applyAlignment="1">
      <alignment horizontal="left" vertical="center" wrapText="1"/>
    </xf>
    <xf numFmtId="0" fontId="90" fillId="0" borderId="2"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quotePrefix="1" applyFont="1" applyFill="1" applyBorder="1" applyAlignment="1">
      <alignment horizontal="left" vertical="center" wrapText="1"/>
    </xf>
    <xf numFmtId="0" fontId="3" fillId="0" borderId="5" xfId="0" quotePrefix="1" applyFont="1" applyFill="1" applyBorder="1" applyAlignment="1">
      <alignment horizontal="center" vertical="center" wrapText="1"/>
    </xf>
    <xf numFmtId="0" fontId="0" fillId="0" borderId="0" xfId="0" applyFont="1" applyFill="1" applyAlignment="1"/>
    <xf numFmtId="0" fontId="4" fillId="0" borderId="1" xfId="0" applyFont="1" applyFill="1" applyBorder="1" applyAlignment="1">
      <alignment vertical="center" wrapText="1"/>
    </xf>
    <xf numFmtId="175" fontId="9" fillId="2" borderId="1" xfId="4" applyNumberFormat="1" applyFont="1" applyFill="1" applyBorder="1" applyAlignment="1">
      <alignment vertical="center" wrapText="1"/>
    </xf>
    <xf numFmtId="175" fontId="9" fillId="2" borderId="6" xfId="4" applyNumberFormat="1" applyFont="1" applyFill="1" applyBorder="1" applyAlignment="1">
      <alignment vertical="center" wrapText="1"/>
    </xf>
    <xf numFmtId="175" fontId="9" fillId="2" borderId="5" xfId="4" applyNumberFormat="1" applyFont="1" applyFill="1" applyBorder="1" applyAlignment="1">
      <alignment vertical="center" wrapText="1"/>
    </xf>
    <xf numFmtId="175" fontId="9" fillId="2" borderId="3" xfId="4" applyNumberFormat="1" applyFont="1" applyFill="1" applyBorder="1" applyAlignment="1">
      <alignment vertical="center" wrapText="1"/>
    </xf>
    <xf numFmtId="176" fontId="9" fillId="2" borderId="2" xfId="16" applyNumberFormat="1" applyFont="1" applyFill="1" applyBorder="1" applyAlignment="1">
      <alignment vertical="center"/>
    </xf>
    <xf numFmtId="175" fontId="9" fillId="2" borderId="2" xfId="4" applyNumberFormat="1" applyFont="1" applyFill="1" applyBorder="1" applyAlignment="1">
      <alignment vertical="center" wrapText="1"/>
    </xf>
    <xf numFmtId="175" fontId="14" fillId="2" borderId="2" xfId="4" applyNumberFormat="1" applyFont="1" applyFill="1" applyBorder="1" applyAlignment="1">
      <alignment vertical="center" wrapText="1"/>
    </xf>
    <xf numFmtId="176" fontId="9" fillId="2" borderId="3" xfId="16" applyNumberFormat="1" applyFont="1" applyFill="1" applyBorder="1" applyAlignment="1">
      <alignment vertical="center"/>
    </xf>
    <xf numFmtId="176" fontId="9" fillId="2" borderId="4" xfId="16" applyNumberFormat="1" applyFont="1" applyFill="1" applyBorder="1" applyAlignment="1">
      <alignment vertical="center"/>
    </xf>
    <xf numFmtId="175" fontId="14" fillId="2" borderId="11" xfId="4" applyNumberFormat="1" applyFont="1" applyFill="1" applyBorder="1" applyAlignment="1">
      <alignment vertical="center" wrapText="1"/>
    </xf>
    <xf numFmtId="167" fontId="9" fillId="2" borderId="4" xfId="4" applyNumberFormat="1" applyFont="1" applyFill="1" applyBorder="1" applyAlignment="1">
      <alignment vertical="center" wrapText="1"/>
    </xf>
    <xf numFmtId="175" fontId="14" fillId="2" borderId="2" xfId="0" applyNumberFormat="1" applyFont="1" applyFill="1" applyBorder="1" applyAlignment="1">
      <alignment vertical="center" wrapText="1"/>
    </xf>
    <xf numFmtId="167" fontId="28" fillId="2" borderId="2" xfId="4" applyNumberFormat="1" applyFont="1" applyFill="1" applyBorder="1" applyAlignment="1">
      <alignment vertical="center" wrapText="1"/>
    </xf>
    <xf numFmtId="167" fontId="9" fillId="2" borderId="2" xfId="4" applyNumberFormat="1" applyFont="1" applyFill="1" applyBorder="1" applyAlignment="1">
      <alignment vertical="center" wrapText="1"/>
    </xf>
    <xf numFmtId="0" fontId="9" fillId="2" borderId="2" xfId="0" applyFont="1" applyFill="1" applyBorder="1" applyAlignment="1">
      <alignment vertical="center"/>
    </xf>
    <xf numFmtId="175" fontId="28" fillId="2" borderId="2" xfId="4" applyNumberFormat="1" applyFont="1" applyFill="1" applyBorder="1" applyAlignment="1">
      <alignment vertical="center" wrapText="1"/>
    </xf>
    <xf numFmtId="175" fontId="9" fillId="2" borderId="2" xfId="0" applyNumberFormat="1" applyFont="1" applyFill="1" applyBorder="1" applyAlignment="1">
      <alignment vertical="center"/>
    </xf>
    <xf numFmtId="175" fontId="9" fillId="2" borderId="4" xfId="4" applyNumberFormat="1" applyFont="1" applyFill="1" applyBorder="1" applyAlignment="1">
      <alignment vertical="center" wrapText="1"/>
    </xf>
    <xf numFmtId="175" fontId="9" fillId="2" borderId="2" xfId="0" applyNumberFormat="1" applyFont="1" applyFill="1" applyBorder="1" applyAlignment="1">
      <alignment vertical="center" wrapText="1"/>
    </xf>
    <xf numFmtId="4" fontId="9" fillId="2" borderId="2" xfId="4" applyNumberFormat="1" applyFont="1" applyFill="1" applyBorder="1" applyAlignment="1" applyProtection="1">
      <alignment vertical="center" wrapText="1"/>
    </xf>
    <xf numFmtId="4" fontId="9" fillId="2" borderId="4" xfId="4" applyNumberFormat="1" applyFont="1" applyFill="1" applyBorder="1" applyAlignment="1" applyProtection="1">
      <alignment vertical="center" wrapText="1"/>
    </xf>
    <xf numFmtId="175" fontId="9" fillId="2" borderId="10" xfId="4" applyNumberFormat="1" applyFont="1" applyFill="1" applyBorder="1" applyAlignment="1">
      <alignment vertical="center" wrapText="1"/>
    </xf>
    <xf numFmtId="175" fontId="9" fillId="2" borderId="4" xfId="0" applyNumberFormat="1" applyFont="1" applyFill="1" applyBorder="1" applyAlignment="1">
      <alignment vertical="center" wrapText="1"/>
    </xf>
    <xf numFmtId="175" fontId="14" fillId="2" borderId="1" xfId="4" applyNumberFormat="1" applyFont="1" applyFill="1" applyBorder="1" applyAlignment="1">
      <alignment vertical="center" wrapText="1"/>
    </xf>
    <xf numFmtId="175" fontId="14" fillId="2" borderId="3" xfId="4" applyNumberFormat="1" applyFont="1" applyFill="1" applyBorder="1" applyAlignment="1">
      <alignment vertical="center" wrapText="1"/>
    </xf>
    <xf numFmtId="175" fontId="3" fillId="2" borderId="2" xfId="4" applyNumberFormat="1" applyFont="1" applyFill="1" applyBorder="1" applyAlignment="1">
      <alignment vertical="center" wrapText="1"/>
    </xf>
    <xf numFmtId="175" fontId="14" fillId="2" borderId="3" xfId="7" applyNumberFormat="1" applyFont="1" applyFill="1" applyBorder="1" applyAlignment="1">
      <alignment vertical="center" wrapText="1"/>
    </xf>
    <xf numFmtId="175" fontId="9" fillId="2" borderId="2" xfId="7" applyNumberFormat="1" applyFont="1" applyFill="1" applyBorder="1" applyAlignment="1">
      <alignment vertical="center" wrapText="1"/>
    </xf>
    <xf numFmtId="175" fontId="9" fillId="2" borderId="2" xfId="19" applyNumberFormat="1" applyFont="1" applyFill="1" applyBorder="1" applyAlignment="1">
      <alignment vertical="center" wrapText="1"/>
    </xf>
    <xf numFmtId="175" fontId="28" fillId="2" borderId="2" xfId="0" applyNumberFormat="1" applyFont="1" applyFill="1" applyBorder="1" applyAlignment="1">
      <alignment vertical="center"/>
    </xf>
    <xf numFmtId="175" fontId="28" fillId="2" borderId="2" xfId="0" applyNumberFormat="1" applyFont="1" applyFill="1" applyBorder="1" applyAlignment="1">
      <alignment vertical="center" wrapText="1"/>
    </xf>
    <xf numFmtId="175" fontId="9" fillId="2" borderId="3" xfId="0" applyNumberFormat="1" applyFont="1" applyFill="1" applyBorder="1" applyAlignment="1">
      <alignment vertical="center"/>
    </xf>
    <xf numFmtId="175" fontId="9" fillId="2" borderId="2" xfId="0" applyNumberFormat="1" applyFont="1" applyFill="1" applyBorder="1" applyAlignment="1">
      <alignment wrapText="1"/>
    </xf>
    <xf numFmtId="167" fontId="9" fillId="2" borderId="2" xfId="0" applyNumberFormat="1" applyFont="1" applyFill="1" applyBorder="1" applyAlignment="1">
      <alignment vertical="center" wrapText="1"/>
    </xf>
    <xf numFmtId="175" fontId="9" fillId="2" borderId="3" xfId="0" applyNumberFormat="1" applyFont="1" applyFill="1" applyBorder="1" applyAlignment="1">
      <alignment vertical="center" wrapText="1"/>
    </xf>
    <xf numFmtId="175" fontId="9" fillId="2" borderId="1" xfId="0" applyNumberFormat="1" applyFont="1" applyFill="1" applyBorder="1" applyAlignment="1">
      <alignment vertical="center" wrapText="1"/>
    </xf>
    <xf numFmtId="0" fontId="10"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center"/>
    </xf>
    <xf numFmtId="0" fontId="9" fillId="0" borderId="0" xfId="0" applyFont="1" applyFill="1" applyAlignment="1">
      <alignment horizontal="left"/>
    </xf>
    <xf numFmtId="0" fontId="14" fillId="0" borderId="0" xfId="0" applyFont="1" applyFill="1" applyAlignment="1">
      <alignment horizontal="left"/>
    </xf>
    <xf numFmtId="0" fontId="37" fillId="0" borderId="0" xfId="0" applyFont="1" applyFill="1" applyAlignment="1">
      <alignment horizontal="center"/>
    </xf>
    <xf numFmtId="0" fontId="3" fillId="0" borderId="0" xfId="0" applyFont="1" applyFill="1" applyAlignment="1">
      <alignment horizontal="left"/>
    </xf>
    <xf numFmtId="0" fontId="4" fillId="0" borderId="0" xfId="0" applyFont="1" applyFill="1" applyAlignment="1">
      <alignment horizontal="left"/>
    </xf>
    <xf numFmtId="0" fontId="6" fillId="0" borderId="0" xfId="0" applyFont="1" applyFill="1" applyAlignment="1">
      <alignment horizontal="center"/>
    </xf>
    <xf numFmtId="0" fontId="14" fillId="2" borderId="1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83" fillId="0" borderId="2" xfId="0" applyFont="1" applyFill="1" applyBorder="1" applyAlignment="1">
      <alignment vertical="center"/>
    </xf>
  </cellXfs>
  <cellStyles count="183">
    <cellStyle name="20% - Accent1 2" xfId="27" xr:uid="{00000000-0005-0000-0000-000000000000}"/>
    <cellStyle name="20% - Accent2 2" xfId="28" xr:uid="{00000000-0005-0000-0000-000001000000}"/>
    <cellStyle name="20% - Accent3 2" xfId="29" xr:uid="{00000000-0005-0000-0000-000002000000}"/>
    <cellStyle name="20% - Accent4 2" xfId="30" xr:uid="{00000000-0005-0000-0000-000003000000}"/>
    <cellStyle name="20% - Accent5 2" xfId="31" xr:uid="{00000000-0005-0000-0000-000004000000}"/>
    <cellStyle name="20% - Accent6 2" xfId="32" xr:uid="{00000000-0005-0000-0000-000005000000}"/>
    <cellStyle name="40% - Accent1 2" xfId="33" xr:uid="{00000000-0005-0000-0000-000006000000}"/>
    <cellStyle name="40% - Accent2 2" xfId="34" xr:uid="{00000000-0005-0000-0000-000007000000}"/>
    <cellStyle name="40% - Accent3 2" xfId="35" xr:uid="{00000000-0005-0000-0000-000008000000}"/>
    <cellStyle name="40% - Accent4 2" xfId="36" xr:uid="{00000000-0005-0000-0000-000009000000}"/>
    <cellStyle name="40% - Accent5 2" xfId="37" xr:uid="{00000000-0005-0000-0000-00000A000000}"/>
    <cellStyle name="40% - Accent6 2" xfId="38" xr:uid="{00000000-0005-0000-0000-00000B000000}"/>
    <cellStyle name="60% - Accent1 2" xfId="39" xr:uid="{00000000-0005-0000-0000-00000C000000}"/>
    <cellStyle name="60% - Accent2 2" xfId="40" xr:uid="{00000000-0005-0000-0000-00000D000000}"/>
    <cellStyle name="60% - Accent3 2" xfId="41" xr:uid="{00000000-0005-0000-0000-00000E000000}"/>
    <cellStyle name="60% - Accent4 2" xfId="42" xr:uid="{00000000-0005-0000-0000-00000F000000}"/>
    <cellStyle name="60% - Accent5 2" xfId="43" xr:uid="{00000000-0005-0000-0000-000010000000}"/>
    <cellStyle name="60% - Accent6 2" xfId="44" xr:uid="{00000000-0005-0000-0000-000011000000}"/>
    <cellStyle name="Accent1 2" xfId="45" xr:uid="{00000000-0005-0000-0000-000012000000}"/>
    <cellStyle name="Accent2 2" xfId="46" xr:uid="{00000000-0005-0000-0000-000013000000}"/>
    <cellStyle name="Accent3 2" xfId="47" xr:uid="{00000000-0005-0000-0000-000014000000}"/>
    <cellStyle name="Accent4 2" xfId="48" xr:uid="{00000000-0005-0000-0000-000015000000}"/>
    <cellStyle name="Accent5 2" xfId="49" xr:uid="{00000000-0005-0000-0000-000016000000}"/>
    <cellStyle name="Accent6 2" xfId="50" xr:uid="{00000000-0005-0000-0000-000017000000}"/>
    <cellStyle name="Bad 2" xfId="51" xr:uid="{00000000-0005-0000-0000-000018000000}"/>
    <cellStyle name="Calculation 2" xfId="52" xr:uid="{00000000-0005-0000-0000-000019000000}"/>
    <cellStyle name="Check Cell 2" xfId="80" xr:uid="{00000000-0005-0000-0000-00001A000000}"/>
    <cellStyle name="Comma" xfId="1" builtinId="3"/>
    <cellStyle name="Comma [0] 2" xfId="53" xr:uid="{00000000-0005-0000-0000-00001C000000}"/>
    <cellStyle name="Comma 10" xfId="6" xr:uid="{00000000-0005-0000-0000-00001D000000}"/>
    <cellStyle name="Comma 10 2" xfId="16" xr:uid="{00000000-0005-0000-0000-00001E000000}"/>
    <cellStyle name="Comma 11" xfId="13" xr:uid="{00000000-0005-0000-0000-00001F000000}"/>
    <cellStyle name="Comma 11 2" xfId="23" xr:uid="{00000000-0005-0000-0000-000020000000}"/>
    <cellStyle name="Comma 11 4" xfId="54" xr:uid="{00000000-0005-0000-0000-000021000000}"/>
    <cellStyle name="Comma 12" xfId="55" xr:uid="{00000000-0005-0000-0000-000022000000}"/>
    <cellStyle name="Comma 13" xfId="14" xr:uid="{00000000-0005-0000-0000-000023000000}"/>
    <cellStyle name="Comma 13 2" xfId="56" xr:uid="{00000000-0005-0000-0000-000024000000}"/>
    <cellStyle name="Comma 14" xfId="57" xr:uid="{00000000-0005-0000-0000-000025000000}"/>
    <cellStyle name="Comma 15" xfId="4" xr:uid="{00000000-0005-0000-0000-000026000000}"/>
    <cellStyle name="Comma 16" xfId="58" xr:uid="{00000000-0005-0000-0000-000027000000}"/>
    <cellStyle name="Comma 17" xfId="59" xr:uid="{00000000-0005-0000-0000-000028000000}"/>
    <cellStyle name="Comma 18" xfId="60" xr:uid="{00000000-0005-0000-0000-000029000000}"/>
    <cellStyle name="Comma 19" xfId="61" xr:uid="{00000000-0005-0000-0000-00002A000000}"/>
    <cellStyle name="Comma 2" xfId="5" xr:uid="{00000000-0005-0000-0000-00002B000000}"/>
    <cellStyle name="Comma 2 2" xfId="62" xr:uid="{00000000-0005-0000-0000-00002C000000}"/>
    <cellStyle name="Comma 2 2 2" xfId="63" xr:uid="{00000000-0005-0000-0000-00002D000000}"/>
    <cellStyle name="Comma 2 3" xfId="64" xr:uid="{00000000-0005-0000-0000-00002E000000}"/>
    <cellStyle name="Comma 2 3 4" xfId="65" xr:uid="{00000000-0005-0000-0000-00002F000000}"/>
    <cellStyle name="Comma 2 6" xfId="66" xr:uid="{00000000-0005-0000-0000-000030000000}"/>
    <cellStyle name="Comma 20" xfId="67" xr:uid="{00000000-0005-0000-0000-000031000000}"/>
    <cellStyle name="Comma 214" xfId="22" xr:uid="{00000000-0005-0000-0000-000032000000}"/>
    <cellStyle name="Comma 3" xfId="68" xr:uid="{00000000-0005-0000-0000-000033000000}"/>
    <cellStyle name="Comma 4" xfId="69" xr:uid="{00000000-0005-0000-0000-000034000000}"/>
    <cellStyle name="Comma 4 2 4" xfId="70" xr:uid="{00000000-0005-0000-0000-000035000000}"/>
    <cellStyle name="Comma 41 4" xfId="71" xr:uid="{00000000-0005-0000-0000-000036000000}"/>
    <cellStyle name="Comma 5" xfId="72" xr:uid="{00000000-0005-0000-0000-000037000000}"/>
    <cellStyle name="Comma 6" xfId="73" xr:uid="{00000000-0005-0000-0000-000038000000}"/>
    <cellStyle name="Comma 7" xfId="74" xr:uid="{00000000-0005-0000-0000-000039000000}"/>
    <cellStyle name="Comma 8" xfId="75" xr:uid="{00000000-0005-0000-0000-00003A000000}"/>
    <cellStyle name="Comma 8 3" xfId="76" xr:uid="{00000000-0005-0000-0000-00003B000000}"/>
    <cellStyle name="Comma 9" xfId="77" xr:uid="{00000000-0005-0000-0000-00003C000000}"/>
    <cellStyle name="Comma0" xfId="78" xr:uid="{00000000-0005-0000-0000-00003D000000}"/>
    <cellStyle name="Currency0" xfId="79" xr:uid="{00000000-0005-0000-0000-00003E000000}"/>
    <cellStyle name="Date" xfId="81" xr:uid="{00000000-0005-0000-0000-00003F000000}"/>
    <cellStyle name="Explanatory Text 2" xfId="82" xr:uid="{00000000-0005-0000-0000-000040000000}"/>
    <cellStyle name="Fixed" xfId="83" xr:uid="{00000000-0005-0000-0000-000041000000}"/>
    <cellStyle name="Good 2" xfId="84" xr:uid="{00000000-0005-0000-0000-000042000000}"/>
    <cellStyle name="Header1" xfId="85" xr:uid="{00000000-0005-0000-0000-000043000000}"/>
    <cellStyle name="Header2" xfId="86" xr:uid="{00000000-0005-0000-0000-000044000000}"/>
    <cellStyle name="Heading 1 2" xfId="88" xr:uid="{00000000-0005-0000-0000-000045000000}"/>
    <cellStyle name="Heading 1 3" xfId="87" xr:uid="{00000000-0005-0000-0000-000046000000}"/>
    <cellStyle name="Heading 2 2" xfId="90" xr:uid="{00000000-0005-0000-0000-000047000000}"/>
    <cellStyle name="Heading 2 3" xfId="89" xr:uid="{00000000-0005-0000-0000-000048000000}"/>
    <cellStyle name="Heading 3 2" xfId="91" xr:uid="{00000000-0005-0000-0000-000049000000}"/>
    <cellStyle name="Heading 4 2" xfId="92" xr:uid="{00000000-0005-0000-0000-00004A000000}"/>
    <cellStyle name="Input 2" xfId="93" xr:uid="{00000000-0005-0000-0000-00004B000000}"/>
    <cellStyle name="Linked Cell 2" xfId="94" xr:uid="{00000000-0005-0000-0000-00004C000000}"/>
    <cellStyle name="Millares [0]_Well Timing" xfId="95" xr:uid="{00000000-0005-0000-0000-00004D000000}"/>
    <cellStyle name="Millares_Well Timing" xfId="96" xr:uid="{00000000-0005-0000-0000-00004E000000}"/>
    <cellStyle name="Moneda [0]_Well Timing" xfId="97" xr:uid="{00000000-0005-0000-0000-00004F000000}"/>
    <cellStyle name="Moneda_Well Timing" xfId="98" xr:uid="{00000000-0005-0000-0000-000050000000}"/>
    <cellStyle name="n" xfId="99" xr:uid="{00000000-0005-0000-0000-000051000000}"/>
    <cellStyle name="Neutral 2" xfId="100" xr:uid="{00000000-0005-0000-0000-000052000000}"/>
    <cellStyle name="Normal" xfId="0" builtinId="0"/>
    <cellStyle name="Normal - Style1" xfId="101" xr:uid="{00000000-0005-0000-0000-000054000000}"/>
    <cellStyle name="Normal 10" xfId="102" xr:uid="{00000000-0005-0000-0000-000055000000}"/>
    <cellStyle name="Normal 10 2" xfId="12" xr:uid="{00000000-0005-0000-0000-000056000000}"/>
    <cellStyle name="Normal 10 3" xfId="103" xr:uid="{00000000-0005-0000-0000-000057000000}"/>
    <cellStyle name="Normal 11" xfId="104" xr:uid="{00000000-0005-0000-0000-000058000000}"/>
    <cellStyle name="Normal 12" xfId="105" xr:uid="{00000000-0005-0000-0000-000059000000}"/>
    <cellStyle name="Normal 13" xfId="9" xr:uid="{00000000-0005-0000-0000-00005A000000}"/>
    <cellStyle name="Normal 13 2" xfId="106" xr:uid="{00000000-0005-0000-0000-00005B000000}"/>
    <cellStyle name="Normal 14" xfId="107" xr:uid="{00000000-0005-0000-0000-00005C000000}"/>
    <cellStyle name="Normal 15" xfId="108" xr:uid="{00000000-0005-0000-0000-00005D000000}"/>
    <cellStyle name="Normal 15 2" xfId="109" xr:uid="{00000000-0005-0000-0000-00005E000000}"/>
    <cellStyle name="Normal 16" xfId="110" xr:uid="{00000000-0005-0000-0000-00005F000000}"/>
    <cellStyle name="Normal 16 3" xfId="111" xr:uid="{00000000-0005-0000-0000-000060000000}"/>
    <cellStyle name="Normal 17" xfId="112" xr:uid="{00000000-0005-0000-0000-000061000000}"/>
    <cellStyle name="Normal 18" xfId="11" xr:uid="{00000000-0005-0000-0000-000062000000}"/>
    <cellStyle name="Normal 19" xfId="113" xr:uid="{00000000-0005-0000-0000-000063000000}"/>
    <cellStyle name="Normal 196" xfId="114" xr:uid="{00000000-0005-0000-0000-000064000000}"/>
    <cellStyle name="Normal 196 4 2" xfId="115" xr:uid="{00000000-0005-0000-0000-000065000000}"/>
    <cellStyle name="Normal 2" xfId="116" xr:uid="{00000000-0005-0000-0000-000066000000}"/>
    <cellStyle name="Normal 2 2" xfId="7" xr:uid="{00000000-0005-0000-0000-000067000000}"/>
    <cellStyle name="Normal 2 2 2" xfId="118" xr:uid="{00000000-0005-0000-0000-000068000000}"/>
    <cellStyle name="Normal 2 2 3" xfId="117" xr:uid="{00000000-0005-0000-0000-000069000000}"/>
    <cellStyle name="Normal 2 3" xfId="119" xr:uid="{00000000-0005-0000-0000-00006A000000}"/>
    <cellStyle name="Normal 2 3 2" xfId="120" xr:uid="{00000000-0005-0000-0000-00006B000000}"/>
    <cellStyle name="Normal 2 3 2 2 2" xfId="121" xr:uid="{00000000-0005-0000-0000-00006C000000}"/>
    <cellStyle name="Normal 2 4" xfId="18" xr:uid="{00000000-0005-0000-0000-00006D000000}"/>
    <cellStyle name="Normal 2 5" xfId="24" xr:uid="{00000000-0005-0000-0000-00006E000000}"/>
    <cellStyle name="Normal 20" xfId="122" xr:uid="{00000000-0005-0000-0000-00006F000000}"/>
    <cellStyle name="Normal 21" xfId="123" xr:uid="{00000000-0005-0000-0000-000070000000}"/>
    <cellStyle name="Normal 22" xfId="20" xr:uid="{00000000-0005-0000-0000-000071000000}"/>
    <cellStyle name="Normal 220" xfId="21" xr:uid="{00000000-0005-0000-0000-000072000000}"/>
    <cellStyle name="Normal 23" xfId="124" xr:uid="{00000000-0005-0000-0000-000073000000}"/>
    <cellStyle name="Normal 24" xfId="125" xr:uid="{00000000-0005-0000-0000-000074000000}"/>
    <cellStyle name="Normal 25" xfId="26" xr:uid="{00000000-0005-0000-0000-000075000000}"/>
    <cellStyle name="Normal 26" xfId="126" xr:uid="{00000000-0005-0000-0000-000076000000}"/>
    <cellStyle name="Normal 267" xfId="127" xr:uid="{00000000-0005-0000-0000-000077000000}"/>
    <cellStyle name="Normal 27" xfId="128" xr:uid="{00000000-0005-0000-0000-000078000000}"/>
    <cellStyle name="Normal 29" xfId="129" xr:uid="{00000000-0005-0000-0000-000079000000}"/>
    <cellStyle name="Normal 3" xfId="130" xr:uid="{00000000-0005-0000-0000-00007A000000}"/>
    <cellStyle name="Normal 3 2" xfId="131" xr:uid="{00000000-0005-0000-0000-00007B000000}"/>
    <cellStyle name="Normal 3 2 4" xfId="132" xr:uid="{00000000-0005-0000-0000-00007C000000}"/>
    <cellStyle name="Normal 3 3" xfId="133" xr:uid="{00000000-0005-0000-0000-00007D000000}"/>
    <cellStyle name="Normal 3 3 2" xfId="134" xr:uid="{00000000-0005-0000-0000-00007E000000}"/>
    <cellStyle name="Normal 3 3 2 2" xfId="135" xr:uid="{00000000-0005-0000-0000-00007F000000}"/>
    <cellStyle name="Normal 38" xfId="136" xr:uid="{00000000-0005-0000-0000-000080000000}"/>
    <cellStyle name="Normal 4" xfId="137" xr:uid="{00000000-0005-0000-0000-000081000000}"/>
    <cellStyle name="Normal 4 2" xfId="2" xr:uid="{00000000-0005-0000-0000-000082000000}"/>
    <cellStyle name="Normal 4 2 2" xfId="138" xr:uid="{00000000-0005-0000-0000-000083000000}"/>
    <cellStyle name="Normal 4 3" xfId="139" xr:uid="{00000000-0005-0000-0000-000084000000}"/>
    <cellStyle name="Normal 4 4" xfId="140" xr:uid="{00000000-0005-0000-0000-000085000000}"/>
    <cellStyle name="Normal 45" xfId="141" xr:uid="{00000000-0005-0000-0000-000086000000}"/>
    <cellStyle name="Normal 5" xfId="3" xr:uid="{00000000-0005-0000-0000-000087000000}"/>
    <cellStyle name="Normal 5 2" xfId="142" xr:uid="{00000000-0005-0000-0000-000088000000}"/>
    <cellStyle name="Normal 6" xfId="143" xr:uid="{00000000-0005-0000-0000-000089000000}"/>
    <cellStyle name="Normal 6 3" xfId="144" xr:uid="{00000000-0005-0000-0000-00008A000000}"/>
    <cellStyle name="Normal 6 5" xfId="145" xr:uid="{00000000-0005-0000-0000-00008B000000}"/>
    <cellStyle name="Normal 60" xfId="146" xr:uid="{00000000-0005-0000-0000-00008C000000}"/>
    <cellStyle name="Normal 7" xfId="147" xr:uid="{00000000-0005-0000-0000-00008D000000}"/>
    <cellStyle name="Normal 7 3" xfId="148" xr:uid="{00000000-0005-0000-0000-00008E000000}"/>
    <cellStyle name="Normal 8" xfId="149" xr:uid="{00000000-0005-0000-0000-00008F000000}"/>
    <cellStyle name="Normal 8 2" xfId="8" xr:uid="{00000000-0005-0000-0000-000090000000}"/>
    <cellStyle name="Normal 8 6" xfId="150" xr:uid="{00000000-0005-0000-0000-000091000000}"/>
    <cellStyle name="Normal 9" xfId="151" xr:uid="{00000000-0005-0000-0000-000092000000}"/>
    <cellStyle name="Normal_DT vỏ HQ373" xfId="15" xr:uid="{00000000-0005-0000-0000-000093000000}"/>
    <cellStyle name="Normal_Sheet1_1" xfId="19" xr:uid="{00000000-0005-0000-0000-000094000000}"/>
    <cellStyle name="Normal_Sheet1_1 2" xfId="17" xr:uid="{00000000-0005-0000-0000-000095000000}"/>
    <cellStyle name="Normal_Sheet3 2" xfId="10" xr:uid="{00000000-0005-0000-0000-000096000000}"/>
    <cellStyle name="Note 2" xfId="153" xr:uid="{00000000-0005-0000-0000-000097000000}"/>
    <cellStyle name="Note 3" xfId="152" xr:uid="{00000000-0005-0000-0000-000098000000}"/>
    <cellStyle name="Output 2" xfId="154" xr:uid="{00000000-0005-0000-0000-000099000000}"/>
    <cellStyle name="Percent 2" xfId="155" xr:uid="{00000000-0005-0000-0000-00009A000000}"/>
    <cellStyle name="T" xfId="156" xr:uid="{00000000-0005-0000-0000-00009B000000}"/>
    <cellStyle name="th" xfId="159" xr:uid="{00000000-0005-0000-0000-00009C000000}"/>
    <cellStyle name="Title" xfId="25" builtinId="15" customBuiltin="1"/>
    <cellStyle name="Total 2" xfId="158" xr:uid="{00000000-0005-0000-0000-00009E000000}"/>
    <cellStyle name="Total 3" xfId="157" xr:uid="{00000000-0005-0000-0000-00009F000000}"/>
    <cellStyle name="viet" xfId="160" xr:uid="{00000000-0005-0000-0000-0000A0000000}"/>
    <cellStyle name="viet2" xfId="161" xr:uid="{00000000-0005-0000-0000-0000A1000000}"/>
    <cellStyle name="Warning Text 2" xfId="162" xr:uid="{00000000-0005-0000-0000-0000A2000000}"/>
    <cellStyle name=" [0.00]_ Att. 1- Cover" xfId="163" xr:uid="{00000000-0005-0000-0000-0000A3000000}"/>
    <cellStyle name="_ Att. 1- Cover" xfId="164" xr:uid="{00000000-0005-0000-0000-0000A4000000}"/>
    <cellStyle name="?_ Att. 1- Cover" xfId="165" xr:uid="{00000000-0005-0000-0000-0000A5000000}"/>
    <cellStyle name="똿뗦먛귟 [0.00]_PRODUCT DETAIL Q1" xfId="166" xr:uid="{00000000-0005-0000-0000-0000A6000000}"/>
    <cellStyle name="똿뗦먛귟_PRODUCT DETAIL Q1" xfId="167" xr:uid="{00000000-0005-0000-0000-0000A7000000}"/>
    <cellStyle name="믅됞 [0.00]_PRODUCT DETAIL Q1" xfId="168" xr:uid="{00000000-0005-0000-0000-0000A8000000}"/>
    <cellStyle name="믅됞_PRODUCT DETAIL Q1" xfId="169" xr:uid="{00000000-0005-0000-0000-0000A9000000}"/>
    <cellStyle name="백분율_95" xfId="170" xr:uid="{00000000-0005-0000-0000-0000AA000000}"/>
    <cellStyle name="뷭?_BOOKSHIP" xfId="171" xr:uid="{00000000-0005-0000-0000-0000AB000000}"/>
    <cellStyle name="콤마 [0]_1202" xfId="172" xr:uid="{00000000-0005-0000-0000-0000AC000000}"/>
    <cellStyle name="콤마_1202" xfId="173" xr:uid="{00000000-0005-0000-0000-0000AD000000}"/>
    <cellStyle name="통화 [0]_1202" xfId="174" xr:uid="{00000000-0005-0000-0000-0000AE000000}"/>
    <cellStyle name="통화_1202" xfId="175" xr:uid="{00000000-0005-0000-0000-0000AF000000}"/>
    <cellStyle name="표준_(정보부문)월별인원계획" xfId="176" xr:uid="{00000000-0005-0000-0000-0000B0000000}"/>
    <cellStyle name="一般_00Q3902REV.1" xfId="177" xr:uid="{00000000-0005-0000-0000-0000B1000000}"/>
    <cellStyle name="千分位[0]_00Q3902REV.1" xfId="178" xr:uid="{00000000-0005-0000-0000-0000B2000000}"/>
    <cellStyle name="千分位_00Q3902REV.1" xfId="179" xr:uid="{00000000-0005-0000-0000-0000B3000000}"/>
    <cellStyle name="貨幣 [0]_00Q3902REV.1" xfId="180" xr:uid="{00000000-0005-0000-0000-0000B4000000}"/>
    <cellStyle name="貨幣[0]_BRE" xfId="181" xr:uid="{00000000-0005-0000-0000-0000B5000000}"/>
    <cellStyle name="貨幣_00Q3902REV.1" xfId="182" xr:uid="{00000000-0005-0000-0000-0000B6000000}"/>
  </cellStyles>
  <dxfs count="2">
    <dxf>
      <fill>
        <patternFill>
          <bgColor indexed="15"/>
        </patternFill>
      </fill>
    </dxf>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180975</xdr:colOff>
      <xdr:row>40</xdr:row>
      <xdr:rowOff>762635</xdr:rowOff>
    </xdr:to>
    <xdr:sp macro="" textlink="">
      <xdr:nvSpPr>
        <xdr:cNvPr id="2" name="Text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 name="TextBox 2">
          <a:extLst>
            <a:ext uri="{FF2B5EF4-FFF2-40B4-BE49-F238E27FC236}">
              <a16:creationId xmlns:a16="http://schemas.microsoft.com/office/drawing/2014/main" id="{00000000-0008-0000-0000-000003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4" name="Text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5" name="TextBox 4">
          <a:extLst>
            <a:ext uri="{FF2B5EF4-FFF2-40B4-BE49-F238E27FC236}">
              <a16:creationId xmlns:a16="http://schemas.microsoft.com/office/drawing/2014/main" id="{00000000-0008-0000-0000-000005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6" name="TextBox 5">
          <a:extLst>
            <a:ext uri="{FF2B5EF4-FFF2-40B4-BE49-F238E27FC236}">
              <a16:creationId xmlns:a16="http://schemas.microsoft.com/office/drawing/2014/main" id="{00000000-0008-0000-0000-000006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7" name="TextBox 6">
          <a:extLst>
            <a:ext uri="{FF2B5EF4-FFF2-40B4-BE49-F238E27FC236}">
              <a16:creationId xmlns:a16="http://schemas.microsoft.com/office/drawing/2014/main" id="{00000000-0008-0000-0000-000007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8" name="TextBox 7">
          <a:extLst>
            <a:ext uri="{FF2B5EF4-FFF2-40B4-BE49-F238E27FC236}">
              <a16:creationId xmlns:a16="http://schemas.microsoft.com/office/drawing/2014/main" id="{00000000-0008-0000-0000-000008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9" name="TextBox 8">
          <a:extLst>
            <a:ext uri="{FF2B5EF4-FFF2-40B4-BE49-F238E27FC236}">
              <a16:creationId xmlns:a16="http://schemas.microsoft.com/office/drawing/2014/main" id="{00000000-0008-0000-0000-000009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0" name="TextBox 9">
          <a:extLst>
            <a:ext uri="{FF2B5EF4-FFF2-40B4-BE49-F238E27FC236}">
              <a16:creationId xmlns:a16="http://schemas.microsoft.com/office/drawing/2014/main" id="{00000000-0008-0000-0000-00000A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1" name="TextBox 10">
          <a:extLst>
            <a:ext uri="{FF2B5EF4-FFF2-40B4-BE49-F238E27FC236}">
              <a16:creationId xmlns:a16="http://schemas.microsoft.com/office/drawing/2014/main" id="{00000000-0008-0000-0000-00000B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2" name="TextBox 11">
          <a:extLst>
            <a:ext uri="{FF2B5EF4-FFF2-40B4-BE49-F238E27FC236}">
              <a16:creationId xmlns:a16="http://schemas.microsoft.com/office/drawing/2014/main" id="{00000000-0008-0000-0000-00000C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3" name="TextBox 12">
          <a:extLst>
            <a:ext uri="{FF2B5EF4-FFF2-40B4-BE49-F238E27FC236}">
              <a16:creationId xmlns:a16="http://schemas.microsoft.com/office/drawing/2014/main" id="{00000000-0008-0000-0000-00000D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4" name="TextBox 13">
          <a:extLst>
            <a:ext uri="{FF2B5EF4-FFF2-40B4-BE49-F238E27FC236}">
              <a16:creationId xmlns:a16="http://schemas.microsoft.com/office/drawing/2014/main" id="{00000000-0008-0000-0000-00000E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5" name="TextBox 14">
          <a:extLst>
            <a:ext uri="{FF2B5EF4-FFF2-40B4-BE49-F238E27FC236}">
              <a16:creationId xmlns:a16="http://schemas.microsoft.com/office/drawing/2014/main" id="{00000000-0008-0000-0000-00000F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6" name="Text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7" name="TextBox 16">
          <a:extLst>
            <a:ext uri="{FF2B5EF4-FFF2-40B4-BE49-F238E27FC236}">
              <a16:creationId xmlns:a16="http://schemas.microsoft.com/office/drawing/2014/main" id="{00000000-0008-0000-0000-000011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8" name="TextBox 17">
          <a:extLst>
            <a:ext uri="{FF2B5EF4-FFF2-40B4-BE49-F238E27FC236}">
              <a16:creationId xmlns:a16="http://schemas.microsoft.com/office/drawing/2014/main" id="{00000000-0008-0000-0000-000012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19" name="TextBox 18">
          <a:extLst>
            <a:ext uri="{FF2B5EF4-FFF2-40B4-BE49-F238E27FC236}">
              <a16:creationId xmlns:a16="http://schemas.microsoft.com/office/drawing/2014/main" id="{00000000-0008-0000-0000-000013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0" name="TextBox 19">
          <a:extLst>
            <a:ext uri="{FF2B5EF4-FFF2-40B4-BE49-F238E27FC236}">
              <a16:creationId xmlns:a16="http://schemas.microsoft.com/office/drawing/2014/main" id="{00000000-0008-0000-0000-000014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1" name="TextBox 20">
          <a:extLst>
            <a:ext uri="{FF2B5EF4-FFF2-40B4-BE49-F238E27FC236}">
              <a16:creationId xmlns:a16="http://schemas.microsoft.com/office/drawing/2014/main" id="{00000000-0008-0000-0000-000015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2" name="TextBox 21">
          <a:extLst>
            <a:ext uri="{FF2B5EF4-FFF2-40B4-BE49-F238E27FC236}">
              <a16:creationId xmlns:a16="http://schemas.microsoft.com/office/drawing/2014/main" id="{00000000-0008-0000-0000-000016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3" name="TextBox 22">
          <a:extLst>
            <a:ext uri="{FF2B5EF4-FFF2-40B4-BE49-F238E27FC236}">
              <a16:creationId xmlns:a16="http://schemas.microsoft.com/office/drawing/2014/main" id="{00000000-0008-0000-0000-000017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4" name="TextBox 23">
          <a:extLst>
            <a:ext uri="{FF2B5EF4-FFF2-40B4-BE49-F238E27FC236}">
              <a16:creationId xmlns:a16="http://schemas.microsoft.com/office/drawing/2014/main" id="{00000000-0008-0000-0000-000018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5" name="TextBox 24">
          <a:extLst>
            <a:ext uri="{FF2B5EF4-FFF2-40B4-BE49-F238E27FC236}">
              <a16:creationId xmlns:a16="http://schemas.microsoft.com/office/drawing/2014/main" id="{00000000-0008-0000-0000-000019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6" name="TextBox 25">
          <a:extLst>
            <a:ext uri="{FF2B5EF4-FFF2-40B4-BE49-F238E27FC236}">
              <a16:creationId xmlns:a16="http://schemas.microsoft.com/office/drawing/2014/main" id="{00000000-0008-0000-0000-00001A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7" name="TextBox 26">
          <a:extLst>
            <a:ext uri="{FF2B5EF4-FFF2-40B4-BE49-F238E27FC236}">
              <a16:creationId xmlns:a16="http://schemas.microsoft.com/office/drawing/2014/main" id="{00000000-0008-0000-0000-00001B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8" name="TextBox 27">
          <a:extLst>
            <a:ext uri="{FF2B5EF4-FFF2-40B4-BE49-F238E27FC236}">
              <a16:creationId xmlns:a16="http://schemas.microsoft.com/office/drawing/2014/main" id="{00000000-0008-0000-0000-00001C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29" name="TextBox 28">
          <a:extLst>
            <a:ext uri="{FF2B5EF4-FFF2-40B4-BE49-F238E27FC236}">
              <a16:creationId xmlns:a16="http://schemas.microsoft.com/office/drawing/2014/main" id="{00000000-0008-0000-0000-00001D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0" name="TextBox 29">
          <a:extLst>
            <a:ext uri="{FF2B5EF4-FFF2-40B4-BE49-F238E27FC236}">
              <a16:creationId xmlns:a16="http://schemas.microsoft.com/office/drawing/2014/main" id="{00000000-0008-0000-0000-00001E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1" name="TextBox 30">
          <a:extLst>
            <a:ext uri="{FF2B5EF4-FFF2-40B4-BE49-F238E27FC236}">
              <a16:creationId xmlns:a16="http://schemas.microsoft.com/office/drawing/2014/main" id="{00000000-0008-0000-0000-00001F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2" name="TextBox 31">
          <a:extLst>
            <a:ext uri="{FF2B5EF4-FFF2-40B4-BE49-F238E27FC236}">
              <a16:creationId xmlns:a16="http://schemas.microsoft.com/office/drawing/2014/main" id="{00000000-0008-0000-0000-000020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3" name="TextBox 32">
          <a:extLst>
            <a:ext uri="{FF2B5EF4-FFF2-40B4-BE49-F238E27FC236}">
              <a16:creationId xmlns:a16="http://schemas.microsoft.com/office/drawing/2014/main" id="{00000000-0008-0000-0000-000021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4" name="TextBox 33">
          <a:extLst>
            <a:ext uri="{FF2B5EF4-FFF2-40B4-BE49-F238E27FC236}">
              <a16:creationId xmlns:a16="http://schemas.microsoft.com/office/drawing/2014/main" id="{00000000-0008-0000-0000-000022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5" name="TextBox 34">
          <a:extLst>
            <a:ext uri="{FF2B5EF4-FFF2-40B4-BE49-F238E27FC236}">
              <a16:creationId xmlns:a16="http://schemas.microsoft.com/office/drawing/2014/main" id="{00000000-0008-0000-0000-000023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6" name="TextBox 35">
          <a:extLst>
            <a:ext uri="{FF2B5EF4-FFF2-40B4-BE49-F238E27FC236}">
              <a16:creationId xmlns:a16="http://schemas.microsoft.com/office/drawing/2014/main" id="{00000000-0008-0000-0000-000024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7" name="TextBox 36">
          <a:extLst>
            <a:ext uri="{FF2B5EF4-FFF2-40B4-BE49-F238E27FC236}">
              <a16:creationId xmlns:a16="http://schemas.microsoft.com/office/drawing/2014/main" id="{00000000-0008-0000-0000-000025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180975</xdr:colOff>
      <xdr:row>40</xdr:row>
      <xdr:rowOff>762635</xdr:rowOff>
    </xdr:to>
    <xdr:sp macro="" textlink="">
      <xdr:nvSpPr>
        <xdr:cNvPr id="38" name="TextBox 37">
          <a:extLst>
            <a:ext uri="{FF2B5EF4-FFF2-40B4-BE49-F238E27FC236}">
              <a16:creationId xmlns:a16="http://schemas.microsoft.com/office/drawing/2014/main" id="{00000000-0008-0000-0000-000026000000}"/>
            </a:ext>
          </a:extLst>
        </xdr:cNvPr>
        <xdr:cNvSpPr txBox="1">
          <a:spLocks noChangeArrowheads="1"/>
        </xdr:cNvSpPr>
      </xdr:nvSpPr>
      <xdr:spPr bwMode="auto">
        <a:xfrm>
          <a:off x="0" y="9517380"/>
          <a:ext cx="180975" cy="28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373380</xdr:colOff>
      <xdr:row>2</xdr:row>
      <xdr:rowOff>7620</xdr:rowOff>
    </xdr:from>
    <xdr:to>
      <xdr:col>1</xdr:col>
      <xdr:colOff>1386840</xdr:colOff>
      <xdr:row>2</xdr:row>
      <xdr:rowOff>7620</xdr:rowOff>
    </xdr:to>
    <xdr:cxnSp macro="">
      <xdr:nvCxnSpPr>
        <xdr:cNvPr id="41" name="Straight Connector 40">
          <a:extLst>
            <a:ext uri="{FF2B5EF4-FFF2-40B4-BE49-F238E27FC236}">
              <a16:creationId xmlns:a16="http://schemas.microsoft.com/office/drawing/2014/main" id="{D4430FF3-510D-4969-BD2A-1A4BFF617E7C}"/>
            </a:ext>
          </a:extLst>
        </xdr:cNvPr>
        <xdr:cNvCxnSpPr/>
      </xdr:nvCxnSpPr>
      <xdr:spPr>
        <a:xfrm>
          <a:off x="762000" y="40386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180975</xdr:colOff>
      <xdr:row>41</xdr:row>
      <xdr:rowOff>23495</xdr:rowOff>
    </xdr:to>
    <xdr:sp macro="" textlink="">
      <xdr:nvSpPr>
        <xdr:cNvPr id="2" name="TextBox 1">
          <a:extLst>
            <a:ext uri="{FF2B5EF4-FFF2-40B4-BE49-F238E27FC236}">
              <a16:creationId xmlns:a16="http://schemas.microsoft.com/office/drawing/2014/main" id="{00000000-0008-0000-0100-000002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 name="Text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4" name="TextBox 3">
          <a:extLst>
            <a:ext uri="{FF2B5EF4-FFF2-40B4-BE49-F238E27FC236}">
              <a16:creationId xmlns:a16="http://schemas.microsoft.com/office/drawing/2014/main" id="{00000000-0008-0000-0100-000004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5" name="TextBox 4">
          <a:extLst>
            <a:ext uri="{FF2B5EF4-FFF2-40B4-BE49-F238E27FC236}">
              <a16:creationId xmlns:a16="http://schemas.microsoft.com/office/drawing/2014/main" id="{00000000-0008-0000-0100-000005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6" name="TextBox 5">
          <a:extLst>
            <a:ext uri="{FF2B5EF4-FFF2-40B4-BE49-F238E27FC236}">
              <a16:creationId xmlns:a16="http://schemas.microsoft.com/office/drawing/2014/main" id="{00000000-0008-0000-0100-000006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7" name="TextBox 6">
          <a:extLst>
            <a:ext uri="{FF2B5EF4-FFF2-40B4-BE49-F238E27FC236}">
              <a16:creationId xmlns:a16="http://schemas.microsoft.com/office/drawing/2014/main" id="{00000000-0008-0000-0100-000007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8" name="TextBox 7">
          <a:extLst>
            <a:ext uri="{FF2B5EF4-FFF2-40B4-BE49-F238E27FC236}">
              <a16:creationId xmlns:a16="http://schemas.microsoft.com/office/drawing/2014/main" id="{00000000-0008-0000-0100-000008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9" name="TextBox 8">
          <a:extLst>
            <a:ext uri="{FF2B5EF4-FFF2-40B4-BE49-F238E27FC236}">
              <a16:creationId xmlns:a16="http://schemas.microsoft.com/office/drawing/2014/main" id="{00000000-0008-0000-0100-000009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0" name="TextBox 9">
          <a:extLst>
            <a:ext uri="{FF2B5EF4-FFF2-40B4-BE49-F238E27FC236}">
              <a16:creationId xmlns:a16="http://schemas.microsoft.com/office/drawing/2014/main" id="{00000000-0008-0000-0100-00000A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1" name="TextBox 10">
          <a:extLst>
            <a:ext uri="{FF2B5EF4-FFF2-40B4-BE49-F238E27FC236}">
              <a16:creationId xmlns:a16="http://schemas.microsoft.com/office/drawing/2014/main" id="{00000000-0008-0000-0100-00000B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2" name="TextBox 11">
          <a:extLst>
            <a:ext uri="{FF2B5EF4-FFF2-40B4-BE49-F238E27FC236}">
              <a16:creationId xmlns:a16="http://schemas.microsoft.com/office/drawing/2014/main" id="{00000000-0008-0000-0100-00000C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3" name="TextBox 12">
          <a:extLst>
            <a:ext uri="{FF2B5EF4-FFF2-40B4-BE49-F238E27FC236}">
              <a16:creationId xmlns:a16="http://schemas.microsoft.com/office/drawing/2014/main" id="{00000000-0008-0000-0100-00000D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4" name="TextBox 13">
          <a:extLst>
            <a:ext uri="{FF2B5EF4-FFF2-40B4-BE49-F238E27FC236}">
              <a16:creationId xmlns:a16="http://schemas.microsoft.com/office/drawing/2014/main" id="{00000000-0008-0000-0100-00000E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5" name="TextBox 14">
          <a:extLst>
            <a:ext uri="{FF2B5EF4-FFF2-40B4-BE49-F238E27FC236}">
              <a16:creationId xmlns:a16="http://schemas.microsoft.com/office/drawing/2014/main" id="{00000000-0008-0000-0100-00000F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6" name="TextBox 15">
          <a:extLst>
            <a:ext uri="{FF2B5EF4-FFF2-40B4-BE49-F238E27FC236}">
              <a16:creationId xmlns:a16="http://schemas.microsoft.com/office/drawing/2014/main" id="{00000000-0008-0000-0100-000010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7" name="TextBox 16">
          <a:extLst>
            <a:ext uri="{FF2B5EF4-FFF2-40B4-BE49-F238E27FC236}">
              <a16:creationId xmlns:a16="http://schemas.microsoft.com/office/drawing/2014/main" id="{00000000-0008-0000-0100-000011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8" name="TextBox 17">
          <a:extLst>
            <a:ext uri="{FF2B5EF4-FFF2-40B4-BE49-F238E27FC236}">
              <a16:creationId xmlns:a16="http://schemas.microsoft.com/office/drawing/2014/main" id="{00000000-0008-0000-0100-000012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19" name="TextBox 18">
          <a:extLst>
            <a:ext uri="{FF2B5EF4-FFF2-40B4-BE49-F238E27FC236}">
              <a16:creationId xmlns:a16="http://schemas.microsoft.com/office/drawing/2014/main" id="{00000000-0008-0000-0100-000013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0" name="TextBox 19">
          <a:extLst>
            <a:ext uri="{FF2B5EF4-FFF2-40B4-BE49-F238E27FC236}">
              <a16:creationId xmlns:a16="http://schemas.microsoft.com/office/drawing/2014/main" id="{00000000-0008-0000-0100-000014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1" name="TextBox 20">
          <a:extLst>
            <a:ext uri="{FF2B5EF4-FFF2-40B4-BE49-F238E27FC236}">
              <a16:creationId xmlns:a16="http://schemas.microsoft.com/office/drawing/2014/main" id="{00000000-0008-0000-0100-000015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2" name="TextBox 21">
          <a:extLst>
            <a:ext uri="{FF2B5EF4-FFF2-40B4-BE49-F238E27FC236}">
              <a16:creationId xmlns:a16="http://schemas.microsoft.com/office/drawing/2014/main" id="{00000000-0008-0000-0100-000016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3" name="TextBox 22">
          <a:extLst>
            <a:ext uri="{FF2B5EF4-FFF2-40B4-BE49-F238E27FC236}">
              <a16:creationId xmlns:a16="http://schemas.microsoft.com/office/drawing/2014/main" id="{00000000-0008-0000-0100-000017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4" name="TextBox 23">
          <a:extLst>
            <a:ext uri="{FF2B5EF4-FFF2-40B4-BE49-F238E27FC236}">
              <a16:creationId xmlns:a16="http://schemas.microsoft.com/office/drawing/2014/main" id="{00000000-0008-0000-0100-000018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5" name="TextBox 24">
          <a:extLst>
            <a:ext uri="{FF2B5EF4-FFF2-40B4-BE49-F238E27FC236}">
              <a16:creationId xmlns:a16="http://schemas.microsoft.com/office/drawing/2014/main" id="{00000000-0008-0000-0100-000019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6" name="TextBox 25">
          <a:extLst>
            <a:ext uri="{FF2B5EF4-FFF2-40B4-BE49-F238E27FC236}">
              <a16:creationId xmlns:a16="http://schemas.microsoft.com/office/drawing/2014/main" id="{00000000-0008-0000-0100-00001A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7" name="TextBox 26">
          <a:extLst>
            <a:ext uri="{FF2B5EF4-FFF2-40B4-BE49-F238E27FC236}">
              <a16:creationId xmlns:a16="http://schemas.microsoft.com/office/drawing/2014/main" id="{00000000-0008-0000-0100-00001B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8" name="TextBox 27">
          <a:extLst>
            <a:ext uri="{FF2B5EF4-FFF2-40B4-BE49-F238E27FC236}">
              <a16:creationId xmlns:a16="http://schemas.microsoft.com/office/drawing/2014/main" id="{00000000-0008-0000-0100-00001C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29" name="TextBox 28">
          <a:extLst>
            <a:ext uri="{FF2B5EF4-FFF2-40B4-BE49-F238E27FC236}">
              <a16:creationId xmlns:a16="http://schemas.microsoft.com/office/drawing/2014/main" id="{00000000-0008-0000-0100-00001D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0" name="TextBox 29">
          <a:extLst>
            <a:ext uri="{FF2B5EF4-FFF2-40B4-BE49-F238E27FC236}">
              <a16:creationId xmlns:a16="http://schemas.microsoft.com/office/drawing/2014/main" id="{00000000-0008-0000-0100-00001E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1" name="TextBox 30">
          <a:extLst>
            <a:ext uri="{FF2B5EF4-FFF2-40B4-BE49-F238E27FC236}">
              <a16:creationId xmlns:a16="http://schemas.microsoft.com/office/drawing/2014/main" id="{00000000-0008-0000-0100-00001F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2" name="TextBox 31">
          <a:extLst>
            <a:ext uri="{FF2B5EF4-FFF2-40B4-BE49-F238E27FC236}">
              <a16:creationId xmlns:a16="http://schemas.microsoft.com/office/drawing/2014/main" id="{00000000-0008-0000-0100-000020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3" name="TextBox 32">
          <a:extLst>
            <a:ext uri="{FF2B5EF4-FFF2-40B4-BE49-F238E27FC236}">
              <a16:creationId xmlns:a16="http://schemas.microsoft.com/office/drawing/2014/main" id="{00000000-0008-0000-0100-000021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4" name="TextBox 33">
          <a:extLst>
            <a:ext uri="{FF2B5EF4-FFF2-40B4-BE49-F238E27FC236}">
              <a16:creationId xmlns:a16="http://schemas.microsoft.com/office/drawing/2014/main" id="{00000000-0008-0000-0100-000022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5" name="TextBox 34">
          <a:extLst>
            <a:ext uri="{FF2B5EF4-FFF2-40B4-BE49-F238E27FC236}">
              <a16:creationId xmlns:a16="http://schemas.microsoft.com/office/drawing/2014/main" id="{00000000-0008-0000-0100-000023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6" name="TextBox 35">
          <a:extLst>
            <a:ext uri="{FF2B5EF4-FFF2-40B4-BE49-F238E27FC236}">
              <a16:creationId xmlns:a16="http://schemas.microsoft.com/office/drawing/2014/main" id="{00000000-0008-0000-0100-000024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7" name="TextBox 36">
          <a:extLst>
            <a:ext uri="{FF2B5EF4-FFF2-40B4-BE49-F238E27FC236}">
              <a16:creationId xmlns:a16="http://schemas.microsoft.com/office/drawing/2014/main" id="{00000000-0008-0000-0100-000025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32</xdr:row>
      <xdr:rowOff>0</xdr:rowOff>
    </xdr:from>
    <xdr:to>
      <xdr:col>0</xdr:col>
      <xdr:colOff>180975</xdr:colOff>
      <xdr:row>41</xdr:row>
      <xdr:rowOff>23495</xdr:rowOff>
    </xdr:to>
    <xdr:sp macro="" textlink="">
      <xdr:nvSpPr>
        <xdr:cNvPr id="38" name="TextBox 37">
          <a:extLst>
            <a:ext uri="{FF2B5EF4-FFF2-40B4-BE49-F238E27FC236}">
              <a16:creationId xmlns:a16="http://schemas.microsoft.com/office/drawing/2014/main" id="{00000000-0008-0000-0100-000026000000}"/>
            </a:ext>
          </a:extLst>
        </xdr:cNvPr>
        <xdr:cNvSpPr txBox="1">
          <a:spLocks noChangeArrowheads="1"/>
        </xdr:cNvSpPr>
      </xdr:nvSpPr>
      <xdr:spPr bwMode="auto">
        <a:xfrm>
          <a:off x="0" y="912114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320040</xdr:colOff>
      <xdr:row>2</xdr:row>
      <xdr:rowOff>15240</xdr:rowOff>
    </xdr:from>
    <xdr:to>
      <xdr:col>1</xdr:col>
      <xdr:colOff>1333500</xdr:colOff>
      <xdr:row>2</xdr:row>
      <xdr:rowOff>15240</xdr:rowOff>
    </xdr:to>
    <xdr:cxnSp macro="">
      <xdr:nvCxnSpPr>
        <xdr:cNvPr id="39" name="Straight Connector 38">
          <a:extLst>
            <a:ext uri="{FF2B5EF4-FFF2-40B4-BE49-F238E27FC236}">
              <a16:creationId xmlns:a16="http://schemas.microsoft.com/office/drawing/2014/main" id="{E7B88210-A2E6-4639-97B2-0886E62F3640}"/>
            </a:ext>
          </a:extLst>
        </xdr:cNvPr>
        <xdr:cNvCxnSpPr/>
      </xdr:nvCxnSpPr>
      <xdr:spPr>
        <a:xfrm>
          <a:off x="731520" y="41148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20</xdr:row>
      <xdr:rowOff>130175</xdr:rowOff>
    </xdr:to>
    <xdr:sp macro="" textlink="">
      <xdr:nvSpPr>
        <xdr:cNvPr id="2" name="TextBox 1">
          <a:extLst>
            <a:ext uri="{FF2B5EF4-FFF2-40B4-BE49-F238E27FC236}">
              <a16:creationId xmlns:a16="http://schemas.microsoft.com/office/drawing/2014/main" id="{00000000-0008-0000-0200-000002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3" name="TextBox 2">
          <a:extLst>
            <a:ext uri="{FF2B5EF4-FFF2-40B4-BE49-F238E27FC236}">
              <a16:creationId xmlns:a16="http://schemas.microsoft.com/office/drawing/2014/main" id="{00000000-0008-0000-0200-000003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4" name="TextBox 3">
          <a:extLst>
            <a:ext uri="{FF2B5EF4-FFF2-40B4-BE49-F238E27FC236}">
              <a16:creationId xmlns:a16="http://schemas.microsoft.com/office/drawing/2014/main" id="{00000000-0008-0000-0200-000004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5" name="TextBox 4">
          <a:extLst>
            <a:ext uri="{FF2B5EF4-FFF2-40B4-BE49-F238E27FC236}">
              <a16:creationId xmlns:a16="http://schemas.microsoft.com/office/drawing/2014/main" id="{00000000-0008-0000-0200-000005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6" name="TextBox 5">
          <a:extLst>
            <a:ext uri="{FF2B5EF4-FFF2-40B4-BE49-F238E27FC236}">
              <a16:creationId xmlns:a16="http://schemas.microsoft.com/office/drawing/2014/main" id="{00000000-0008-0000-0200-000006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7" name="TextBox 6">
          <a:extLst>
            <a:ext uri="{FF2B5EF4-FFF2-40B4-BE49-F238E27FC236}">
              <a16:creationId xmlns:a16="http://schemas.microsoft.com/office/drawing/2014/main" id="{00000000-0008-0000-0200-000007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8" name="TextBox 7">
          <a:extLst>
            <a:ext uri="{FF2B5EF4-FFF2-40B4-BE49-F238E27FC236}">
              <a16:creationId xmlns:a16="http://schemas.microsoft.com/office/drawing/2014/main" id="{00000000-0008-0000-0200-000008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9" name="TextBox 8">
          <a:extLst>
            <a:ext uri="{FF2B5EF4-FFF2-40B4-BE49-F238E27FC236}">
              <a16:creationId xmlns:a16="http://schemas.microsoft.com/office/drawing/2014/main" id="{00000000-0008-0000-0200-000009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0" name="TextBox 9">
          <a:extLst>
            <a:ext uri="{FF2B5EF4-FFF2-40B4-BE49-F238E27FC236}">
              <a16:creationId xmlns:a16="http://schemas.microsoft.com/office/drawing/2014/main" id="{00000000-0008-0000-0200-00000A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1" name="TextBox 10">
          <a:extLst>
            <a:ext uri="{FF2B5EF4-FFF2-40B4-BE49-F238E27FC236}">
              <a16:creationId xmlns:a16="http://schemas.microsoft.com/office/drawing/2014/main" id="{00000000-0008-0000-0200-00000B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2" name="TextBox 11">
          <a:extLst>
            <a:ext uri="{FF2B5EF4-FFF2-40B4-BE49-F238E27FC236}">
              <a16:creationId xmlns:a16="http://schemas.microsoft.com/office/drawing/2014/main" id="{00000000-0008-0000-0200-00000C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3" name="TextBox 12">
          <a:extLst>
            <a:ext uri="{FF2B5EF4-FFF2-40B4-BE49-F238E27FC236}">
              <a16:creationId xmlns:a16="http://schemas.microsoft.com/office/drawing/2014/main" id="{00000000-0008-0000-0200-00000D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4" name="TextBox 13">
          <a:extLst>
            <a:ext uri="{FF2B5EF4-FFF2-40B4-BE49-F238E27FC236}">
              <a16:creationId xmlns:a16="http://schemas.microsoft.com/office/drawing/2014/main" id="{00000000-0008-0000-0200-00000E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5" name="TextBox 14">
          <a:extLst>
            <a:ext uri="{FF2B5EF4-FFF2-40B4-BE49-F238E27FC236}">
              <a16:creationId xmlns:a16="http://schemas.microsoft.com/office/drawing/2014/main" id="{00000000-0008-0000-0200-00000F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6" name="TextBox 15">
          <a:extLst>
            <a:ext uri="{FF2B5EF4-FFF2-40B4-BE49-F238E27FC236}">
              <a16:creationId xmlns:a16="http://schemas.microsoft.com/office/drawing/2014/main" id="{00000000-0008-0000-0200-000010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7" name="TextBox 16">
          <a:extLst>
            <a:ext uri="{FF2B5EF4-FFF2-40B4-BE49-F238E27FC236}">
              <a16:creationId xmlns:a16="http://schemas.microsoft.com/office/drawing/2014/main" id="{00000000-0008-0000-0200-000011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8" name="TextBox 17">
          <a:extLst>
            <a:ext uri="{FF2B5EF4-FFF2-40B4-BE49-F238E27FC236}">
              <a16:creationId xmlns:a16="http://schemas.microsoft.com/office/drawing/2014/main" id="{00000000-0008-0000-0200-000012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19" name="TextBox 18">
          <a:extLst>
            <a:ext uri="{FF2B5EF4-FFF2-40B4-BE49-F238E27FC236}">
              <a16:creationId xmlns:a16="http://schemas.microsoft.com/office/drawing/2014/main" id="{00000000-0008-0000-0200-000013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0" name="TextBox 19">
          <a:extLst>
            <a:ext uri="{FF2B5EF4-FFF2-40B4-BE49-F238E27FC236}">
              <a16:creationId xmlns:a16="http://schemas.microsoft.com/office/drawing/2014/main" id="{00000000-0008-0000-0200-000014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1" name="TextBox 20">
          <a:extLst>
            <a:ext uri="{FF2B5EF4-FFF2-40B4-BE49-F238E27FC236}">
              <a16:creationId xmlns:a16="http://schemas.microsoft.com/office/drawing/2014/main" id="{00000000-0008-0000-0200-000015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2" name="TextBox 21">
          <a:extLst>
            <a:ext uri="{FF2B5EF4-FFF2-40B4-BE49-F238E27FC236}">
              <a16:creationId xmlns:a16="http://schemas.microsoft.com/office/drawing/2014/main" id="{00000000-0008-0000-0200-000016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3" name="TextBox 22">
          <a:extLst>
            <a:ext uri="{FF2B5EF4-FFF2-40B4-BE49-F238E27FC236}">
              <a16:creationId xmlns:a16="http://schemas.microsoft.com/office/drawing/2014/main" id="{00000000-0008-0000-0200-000017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4" name="TextBox 23">
          <a:extLst>
            <a:ext uri="{FF2B5EF4-FFF2-40B4-BE49-F238E27FC236}">
              <a16:creationId xmlns:a16="http://schemas.microsoft.com/office/drawing/2014/main" id="{00000000-0008-0000-0200-000018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5" name="TextBox 24">
          <a:extLst>
            <a:ext uri="{FF2B5EF4-FFF2-40B4-BE49-F238E27FC236}">
              <a16:creationId xmlns:a16="http://schemas.microsoft.com/office/drawing/2014/main" id="{00000000-0008-0000-0200-000019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6" name="TextBox 25">
          <a:extLst>
            <a:ext uri="{FF2B5EF4-FFF2-40B4-BE49-F238E27FC236}">
              <a16:creationId xmlns:a16="http://schemas.microsoft.com/office/drawing/2014/main" id="{00000000-0008-0000-0200-00001A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7" name="TextBox 26">
          <a:extLst>
            <a:ext uri="{FF2B5EF4-FFF2-40B4-BE49-F238E27FC236}">
              <a16:creationId xmlns:a16="http://schemas.microsoft.com/office/drawing/2014/main" id="{00000000-0008-0000-0200-00001B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8" name="TextBox 27">
          <a:extLst>
            <a:ext uri="{FF2B5EF4-FFF2-40B4-BE49-F238E27FC236}">
              <a16:creationId xmlns:a16="http://schemas.microsoft.com/office/drawing/2014/main" id="{00000000-0008-0000-0200-00001C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29" name="TextBox 28">
          <a:extLst>
            <a:ext uri="{FF2B5EF4-FFF2-40B4-BE49-F238E27FC236}">
              <a16:creationId xmlns:a16="http://schemas.microsoft.com/office/drawing/2014/main" id="{00000000-0008-0000-0200-00001D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30" name="TextBox 29">
          <a:extLst>
            <a:ext uri="{FF2B5EF4-FFF2-40B4-BE49-F238E27FC236}">
              <a16:creationId xmlns:a16="http://schemas.microsoft.com/office/drawing/2014/main" id="{00000000-0008-0000-0200-00001E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130175</xdr:rowOff>
    </xdr:to>
    <xdr:sp macro="" textlink="">
      <xdr:nvSpPr>
        <xdr:cNvPr id="31" name="TextBox 30">
          <a:extLst>
            <a:ext uri="{FF2B5EF4-FFF2-40B4-BE49-F238E27FC236}">
              <a16:creationId xmlns:a16="http://schemas.microsoft.com/office/drawing/2014/main" id="{00000000-0008-0000-0200-00001F000000}"/>
            </a:ext>
          </a:extLst>
        </xdr:cNvPr>
        <xdr:cNvSpPr txBox="1">
          <a:spLocks noChangeArrowheads="1"/>
        </xdr:cNvSpPr>
      </xdr:nvSpPr>
      <xdr:spPr bwMode="auto">
        <a:xfrm>
          <a:off x="0" y="7200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3611880</xdr:colOff>
      <xdr:row>9</xdr:row>
      <xdr:rowOff>0</xdr:rowOff>
    </xdr:from>
    <xdr:to>
      <xdr:col>1</xdr:col>
      <xdr:colOff>3792855</xdr:colOff>
      <xdr:row>20</xdr:row>
      <xdr:rowOff>130175</xdr:rowOff>
    </xdr:to>
    <xdr:sp macro="" textlink="">
      <xdr:nvSpPr>
        <xdr:cNvPr id="32" name="TextBox 31">
          <a:extLst>
            <a:ext uri="{FF2B5EF4-FFF2-40B4-BE49-F238E27FC236}">
              <a16:creationId xmlns:a16="http://schemas.microsoft.com/office/drawing/2014/main" id="{00000000-0008-0000-0200-000020000000}"/>
            </a:ext>
          </a:extLst>
        </xdr:cNvPr>
        <xdr:cNvSpPr txBox="1">
          <a:spLocks noChangeArrowheads="1"/>
        </xdr:cNvSpPr>
      </xdr:nvSpPr>
      <xdr:spPr bwMode="auto">
        <a:xfrm>
          <a:off x="4023360" y="200406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678180</xdr:colOff>
      <xdr:row>8</xdr:row>
      <xdr:rowOff>335280</xdr:rowOff>
    </xdr:from>
    <xdr:to>
      <xdr:col>1</xdr:col>
      <xdr:colOff>859155</xdr:colOff>
      <xdr:row>20</xdr:row>
      <xdr:rowOff>114935</xdr:rowOff>
    </xdr:to>
    <xdr:sp macro="" textlink="">
      <xdr:nvSpPr>
        <xdr:cNvPr id="33" name="TextBox 32">
          <a:extLst>
            <a:ext uri="{FF2B5EF4-FFF2-40B4-BE49-F238E27FC236}">
              <a16:creationId xmlns:a16="http://schemas.microsoft.com/office/drawing/2014/main" id="{00000000-0008-0000-0200-000021000000}"/>
            </a:ext>
          </a:extLst>
        </xdr:cNvPr>
        <xdr:cNvSpPr txBox="1">
          <a:spLocks noChangeArrowheads="1"/>
        </xdr:cNvSpPr>
      </xdr:nvSpPr>
      <xdr:spPr bwMode="auto">
        <a:xfrm>
          <a:off x="1089660" y="198882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2118360</xdr:colOff>
      <xdr:row>9</xdr:row>
      <xdr:rowOff>0</xdr:rowOff>
    </xdr:from>
    <xdr:to>
      <xdr:col>1</xdr:col>
      <xdr:colOff>2299335</xdr:colOff>
      <xdr:row>20</xdr:row>
      <xdr:rowOff>130175</xdr:rowOff>
    </xdr:to>
    <xdr:sp macro="" textlink="">
      <xdr:nvSpPr>
        <xdr:cNvPr id="34" name="TextBox 33">
          <a:extLst>
            <a:ext uri="{FF2B5EF4-FFF2-40B4-BE49-F238E27FC236}">
              <a16:creationId xmlns:a16="http://schemas.microsoft.com/office/drawing/2014/main" id="{00000000-0008-0000-0200-000022000000}"/>
            </a:ext>
          </a:extLst>
        </xdr:cNvPr>
        <xdr:cNvSpPr txBox="1">
          <a:spLocks noChangeArrowheads="1"/>
        </xdr:cNvSpPr>
      </xdr:nvSpPr>
      <xdr:spPr bwMode="auto">
        <a:xfrm>
          <a:off x="2529840" y="200406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1272540</xdr:colOff>
      <xdr:row>9</xdr:row>
      <xdr:rowOff>7620</xdr:rowOff>
    </xdr:from>
    <xdr:to>
      <xdr:col>1</xdr:col>
      <xdr:colOff>1453515</xdr:colOff>
      <xdr:row>20</xdr:row>
      <xdr:rowOff>137795</xdr:rowOff>
    </xdr:to>
    <xdr:sp macro="" textlink="">
      <xdr:nvSpPr>
        <xdr:cNvPr id="35" name="TextBox 34">
          <a:extLst>
            <a:ext uri="{FF2B5EF4-FFF2-40B4-BE49-F238E27FC236}">
              <a16:creationId xmlns:a16="http://schemas.microsoft.com/office/drawing/2014/main" id="{00000000-0008-0000-0200-000023000000}"/>
            </a:ext>
          </a:extLst>
        </xdr:cNvPr>
        <xdr:cNvSpPr txBox="1">
          <a:spLocks noChangeArrowheads="1"/>
        </xdr:cNvSpPr>
      </xdr:nvSpPr>
      <xdr:spPr bwMode="auto">
        <a:xfrm>
          <a:off x="1684020" y="20116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137160</xdr:colOff>
      <xdr:row>8</xdr:row>
      <xdr:rowOff>312420</xdr:rowOff>
    </xdr:from>
    <xdr:to>
      <xdr:col>10</xdr:col>
      <xdr:colOff>318135</xdr:colOff>
      <xdr:row>20</xdr:row>
      <xdr:rowOff>92075</xdr:rowOff>
    </xdr:to>
    <xdr:sp macro="" textlink="">
      <xdr:nvSpPr>
        <xdr:cNvPr id="36" name="TextBox 35">
          <a:extLst>
            <a:ext uri="{FF2B5EF4-FFF2-40B4-BE49-F238E27FC236}">
              <a16:creationId xmlns:a16="http://schemas.microsoft.com/office/drawing/2014/main" id="{00000000-0008-0000-0200-000024000000}"/>
            </a:ext>
          </a:extLst>
        </xdr:cNvPr>
        <xdr:cNvSpPr txBox="1">
          <a:spLocks noChangeArrowheads="1"/>
        </xdr:cNvSpPr>
      </xdr:nvSpPr>
      <xdr:spPr bwMode="auto">
        <a:xfrm>
          <a:off x="7978140" y="196596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320040</xdr:colOff>
      <xdr:row>2</xdr:row>
      <xdr:rowOff>22860</xdr:rowOff>
    </xdr:from>
    <xdr:to>
      <xdr:col>1</xdr:col>
      <xdr:colOff>1333500</xdr:colOff>
      <xdr:row>2</xdr:row>
      <xdr:rowOff>22860</xdr:rowOff>
    </xdr:to>
    <xdr:cxnSp macro="">
      <xdr:nvCxnSpPr>
        <xdr:cNvPr id="37" name="Straight Connector 36">
          <a:extLst>
            <a:ext uri="{FF2B5EF4-FFF2-40B4-BE49-F238E27FC236}">
              <a16:creationId xmlns:a16="http://schemas.microsoft.com/office/drawing/2014/main" id="{F54772DE-60E6-4083-90FE-0FA66739552B}"/>
            </a:ext>
          </a:extLst>
        </xdr:cNvPr>
        <xdr:cNvCxnSpPr/>
      </xdr:nvCxnSpPr>
      <xdr:spPr>
        <a:xfrm>
          <a:off x="731520" y="41910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18</xdr:row>
      <xdr:rowOff>114935</xdr:rowOff>
    </xdr:to>
    <xdr:sp macro="" textlink="">
      <xdr:nvSpPr>
        <xdr:cNvPr id="2" name="Text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 name="TextBox 2">
          <a:extLst>
            <a:ext uri="{FF2B5EF4-FFF2-40B4-BE49-F238E27FC236}">
              <a16:creationId xmlns:a16="http://schemas.microsoft.com/office/drawing/2014/main" id="{00000000-0008-0000-03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4" name="TextBox 3">
          <a:extLst>
            <a:ext uri="{FF2B5EF4-FFF2-40B4-BE49-F238E27FC236}">
              <a16:creationId xmlns:a16="http://schemas.microsoft.com/office/drawing/2014/main" id="{00000000-0008-0000-03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5" name="TextBox 4">
          <a:extLst>
            <a:ext uri="{FF2B5EF4-FFF2-40B4-BE49-F238E27FC236}">
              <a16:creationId xmlns:a16="http://schemas.microsoft.com/office/drawing/2014/main" id="{00000000-0008-0000-03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6" name="TextBox 5">
          <a:extLst>
            <a:ext uri="{FF2B5EF4-FFF2-40B4-BE49-F238E27FC236}">
              <a16:creationId xmlns:a16="http://schemas.microsoft.com/office/drawing/2014/main" id="{00000000-0008-0000-03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7" name="TextBox 6">
          <a:extLst>
            <a:ext uri="{FF2B5EF4-FFF2-40B4-BE49-F238E27FC236}">
              <a16:creationId xmlns:a16="http://schemas.microsoft.com/office/drawing/2014/main" id="{00000000-0008-0000-03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8" name="TextBox 7">
          <a:extLst>
            <a:ext uri="{FF2B5EF4-FFF2-40B4-BE49-F238E27FC236}">
              <a16:creationId xmlns:a16="http://schemas.microsoft.com/office/drawing/2014/main" id="{00000000-0008-0000-03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9" name="TextBox 8">
          <a:extLst>
            <a:ext uri="{FF2B5EF4-FFF2-40B4-BE49-F238E27FC236}">
              <a16:creationId xmlns:a16="http://schemas.microsoft.com/office/drawing/2014/main" id="{00000000-0008-0000-03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0" name="TextBox 9">
          <a:extLst>
            <a:ext uri="{FF2B5EF4-FFF2-40B4-BE49-F238E27FC236}">
              <a16:creationId xmlns:a16="http://schemas.microsoft.com/office/drawing/2014/main" id="{00000000-0008-0000-03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1" name="TextBox 10">
          <a:extLst>
            <a:ext uri="{FF2B5EF4-FFF2-40B4-BE49-F238E27FC236}">
              <a16:creationId xmlns:a16="http://schemas.microsoft.com/office/drawing/2014/main" id="{00000000-0008-0000-03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2" name="TextBox 11">
          <a:extLst>
            <a:ext uri="{FF2B5EF4-FFF2-40B4-BE49-F238E27FC236}">
              <a16:creationId xmlns:a16="http://schemas.microsoft.com/office/drawing/2014/main" id="{00000000-0008-0000-03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3" name="TextBox 12">
          <a:extLst>
            <a:ext uri="{FF2B5EF4-FFF2-40B4-BE49-F238E27FC236}">
              <a16:creationId xmlns:a16="http://schemas.microsoft.com/office/drawing/2014/main" id="{00000000-0008-0000-03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4" name="TextBox 13">
          <a:extLst>
            <a:ext uri="{FF2B5EF4-FFF2-40B4-BE49-F238E27FC236}">
              <a16:creationId xmlns:a16="http://schemas.microsoft.com/office/drawing/2014/main" id="{00000000-0008-0000-03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5" name="TextBox 14">
          <a:extLst>
            <a:ext uri="{FF2B5EF4-FFF2-40B4-BE49-F238E27FC236}">
              <a16:creationId xmlns:a16="http://schemas.microsoft.com/office/drawing/2014/main" id="{00000000-0008-0000-03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6" name="TextBox 15">
          <a:extLst>
            <a:ext uri="{FF2B5EF4-FFF2-40B4-BE49-F238E27FC236}">
              <a16:creationId xmlns:a16="http://schemas.microsoft.com/office/drawing/2014/main" id="{00000000-0008-0000-03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7" name="TextBox 16">
          <a:extLst>
            <a:ext uri="{FF2B5EF4-FFF2-40B4-BE49-F238E27FC236}">
              <a16:creationId xmlns:a16="http://schemas.microsoft.com/office/drawing/2014/main" id="{00000000-0008-0000-03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8" name="TextBox 17">
          <a:extLst>
            <a:ext uri="{FF2B5EF4-FFF2-40B4-BE49-F238E27FC236}">
              <a16:creationId xmlns:a16="http://schemas.microsoft.com/office/drawing/2014/main" id="{00000000-0008-0000-03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19" name="TextBox 18">
          <a:extLst>
            <a:ext uri="{FF2B5EF4-FFF2-40B4-BE49-F238E27FC236}">
              <a16:creationId xmlns:a16="http://schemas.microsoft.com/office/drawing/2014/main" id="{00000000-0008-0000-03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0" name="TextBox 19">
          <a:extLst>
            <a:ext uri="{FF2B5EF4-FFF2-40B4-BE49-F238E27FC236}">
              <a16:creationId xmlns:a16="http://schemas.microsoft.com/office/drawing/2014/main" id="{00000000-0008-0000-03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1" name="TextBox 20">
          <a:extLst>
            <a:ext uri="{FF2B5EF4-FFF2-40B4-BE49-F238E27FC236}">
              <a16:creationId xmlns:a16="http://schemas.microsoft.com/office/drawing/2014/main" id="{00000000-0008-0000-03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2" name="TextBox 21">
          <a:extLst>
            <a:ext uri="{FF2B5EF4-FFF2-40B4-BE49-F238E27FC236}">
              <a16:creationId xmlns:a16="http://schemas.microsoft.com/office/drawing/2014/main" id="{00000000-0008-0000-03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3" name="TextBox 22">
          <a:extLst>
            <a:ext uri="{FF2B5EF4-FFF2-40B4-BE49-F238E27FC236}">
              <a16:creationId xmlns:a16="http://schemas.microsoft.com/office/drawing/2014/main" id="{00000000-0008-0000-03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4" name="TextBox 23">
          <a:extLst>
            <a:ext uri="{FF2B5EF4-FFF2-40B4-BE49-F238E27FC236}">
              <a16:creationId xmlns:a16="http://schemas.microsoft.com/office/drawing/2014/main" id="{00000000-0008-0000-03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5" name="TextBox 24">
          <a:extLst>
            <a:ext uri="{FF2B5EF4-FFF2-40B4-BE49-F238E27FC236}">
              <a16:creationId xmlns:a16="http://schemas.microsoft.com/office/drawing/2014/main" id="{00000000-0008-0000-03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6" name="TextBox 25">
          <a:extLst>
            <a:ext uri="{FF2B5EF4-FFF2-40B4-BE49-F238E27FC236}">
              <a16:creationId xmlns:a16="http://schemas.microsoft.com/office/drawing/2014/main" id="{00000000-0008-0000-03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7" name="TextBox 26">
          <a:extLst>
            <a:ext uri="{FF2B5EF4-FFF2-40B4-BE49-F238E27FC236}">
              <a16:creationId xmlns:a16="http://schemas.microsoft.com/office/drawing/2014/main" id="{00000000-0008-0000-03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8" name="TextBox 27">
          <a:extLst>
            <a:ext uri="{FF2B5EF4-FFF2-40B4-BE49-F238E27FC236}">
              <a16:creationId xmlns:a16="http://schemas.microsoft.com/office/drawing/2014/main" id="{00000000-0008-0000-03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29" name="TextBox 28">
          <a:extLst>
            <a:ext uri="{FF2B5EF4-FFF2-40B4-BE49-F238E27FC236}">
              <a16:creationId xmlns:a16="http://schemas.microsoft.com/office/drawing/2014/main" id="{00000000-0008-0000-03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0" name="TextBox 29">
          <a:extLst>
            <a:ext uri="{FF2B5EF4-FFF2-40B4-BE49-F238E27FC236}">
              <a16:creationId xmlns:a16="http://schemas.microsoft.com/office/drawing/2014/main" id="{00000000-0008-0000-03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1" name="TextBox 30">
          <a:extLst>
            <a:ext uri="{FF2B5EF4-FFF2-40B4-BE49-F238E27FC236}">
              <a16:creationId xmlns:a16="http://schemas.microsoft.com/office/drawing/2014/main" id="{00000000-0008-0000-03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2" name="TextBox 31">
          <a:extLst>
            <a:ext uri="{FF2B5EF4-FFF2-40B4-BE49-F238E27FC236}">
              <a16:creationId xmlns:a16="http://schemas.microsoft.com/office/drawing/2014/main" id="{00000000-0008-0000-03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3" name="TextBox 32">
          <a:extLst>
            <a:ext uri="{FF2B5EF4-FFF2-40B4-BE49-F238E27FC236}">
              <a16:creationId xmlns:a16="http://schemas.microsoft.com/office/drawing/2014/main" id="{00000000-0008-0000-03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4" name="TextBox 33">
          <a:extLst>
            <a:ext uri="{FF2B5EF4-FFF2-40B4-BE49-F238E27FC236}">
              <a16:creationId xmlns:a16="http://schemas.microsoft.com/office/drawing/2014/main" id="{00000000-0008-0000-03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5" name="TextBox 34">
          <a:extLst>
            <a:ext uri="{FF2B5EF4-FFF2-40B4-BE49-F238E27FC236}">
              <a16:creationId xmlns:a16="http://schemas.microsoft.com/office/drawing/2014/main" id="{00000000-0008-0000-03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6" name="TextBox 35">
          <a:extLst>
            <a:ext uri="{FF2B5EF4-FFF2-40B4-BE49-F238E27FC236}">
              <a16:creationId xmlns:a16="http://schemas.microsoft.com/office/drawing/2014/main" id="{00000000-0008-0000-03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114935</xdr:rowOff>
    </xdr:to>
    <xdr:sp macro="" textlink="">
      <xdr:nvSpPr>
        <xdr:cNvPr id="37" name="TextBox 36">
          <a:extLst>
            <a:ext uri="{FF2B5EF4-FFF2-40B4-BE49-F238E27FC236}">
              <a16:creationId xmlns:a16="http://schemas.microsoft.com/office/drawing/2014/main" id="{00000000-0008-0000-03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358140</xdr:colOff>
      <xdr:row>2</xdr:row>
      <xdr:rowOff>7620</xdr:rowOff>
    </xdr:from>
    <xdr:to>
      <xdr:col>1</xdr:col>
      <xdr:colOff>1371600</xdr:colOff>
      <xdr:row>2</xdr:row>
      <xdr:rowOff>7620</xdr:rowOff>
    </xdr:to>
    <xdr:cxnSp macro="">
      <xdr:nvCxnSpPr>
        <xdr:cNvPr id="38" name="Straight Connector 37">
          <a:extLst>
            <a:ext uri="{FF2B5EF4-FFF2-40B4-BE49-F238E27FC236}">
              <a16:creationId xmlns:a16="http://schemas.microsoft.com/office/drawing/2014/main" id="{67E8F1DD-2BF0-413B-B531-919EA48FDF86}"/>
            </a:ext>
          </a:extLst>
        </xdr:cNvPr>
        <xdr:cNvCxnSpPr/>
      </xdr:nvCxnSpPr>
      <xdr:spPr>
        <a:xfrm>
          <a:off x="769620" y="40386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16</xdr:row>
      <xdr:rowOff>84455</xdr:rowOff>
    </xdr:to>
    <xdr:sp macro="" textlink="">
      <xdr:nvSpPr>
        <xdr:cNvPr id="2" name="TextBox 1">
          <a:extLst>
            <a:ext uri="{FF2B5EF4-FFF2-40B4-BE49-F238E27FC236}">
              <a16:creationId xmlns:a16="http://schemas.microsoft.com/office/drawing/2014/main" id="{00000000-0008-0000-04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 name="TextBox 2">
          <a:extLst>
            <a:ext uri="{FF2B5EF4-FFF2-40B4-BE49-F238E27FC236}">
              <a16:creationId xmlns:a16="http://schemas.microsoft.com/office/drawing/2014/main" id="{00000000-0008-0000-04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4" name="TextBox 3">
          <a:extLst>
            <a:ext uri="{FF2B5EF4-FFF2-40B4-BE49-F238E27FC236}">
              <a16:creationId xmlns:a16="http://schemas.microsoft.com/office/drawing/2014/main" id="{00000000-0008-0000-04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5" name="TextBox 4">
          <a:extLst>
            <a:ext uri="{FF2B5EF4-FFF2-40B4-BE49-F238E27FC236}">
              <a16:creationId xmlns:a16="http://schemas.microsoft.com/office/drawing/2014/main" id="{00000000-0008-0000-04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6" name="TextBox 5">
          <a:extLst>
            <a:ext uri="{FF2B5EF4-FFF2-40B4-BE49-F238E27FC236}">
              <a16:creationId xmlns:a16="http://schemas.microsoft.com/office/drawing/2014/main" id="{00000000-0008-0000-04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7" name="TextBox 6">
          <a:extLst>
            <a:ext uri="{FF2B5EF4-FFF2-40B4-BE49-F238E27FC236}">
              <a16:creationId xmlns:a16="http://schemas.microsoft.com/office/drawing/2014/main" id="{00000000-0008-0000-04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8" name="TextBox 7">
          <a:extLst>
            <a:ext uri="{FF2B5EF4-FFF2-40B4-BE49-F238E27FC236}">
              <a16:creationId xmlns:a16="http://schemas.microsoft.com/office/drawing/2014/main" id="{00000000-0008-0000-04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9" name="TextBox 8">
          <a:extLst>
            <a:ext uri="{FF2B5EF4-FFF2-40B4-BE49-F238E27FC236}">
              <a16:creationId xmlns:a16="http://schemas.microsoft.com/office/drawing/2014/main" id="{00000000-0008-0000-04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0" name="TextBox 9">
          <a:extLst>
            <a:ext uri="{FF2B5EF4-FFF2-40B4-BE49-F238E27FC236}">
              <a16:creationId xmlns:a16="http://schemas.microsoft.com/office/drawing/2014/main" id="{00000000-0008-0000-04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1" name="TextBox 10">
          <a:extLst>
            <a:ext uri="{FF2B5EF4-FFF2-40B4-BE49-F238E27FC236}">
              <a16:creationId xmlns:a16="http://schemas.microsoft.com/office/drawing/2014/main" id="{00000000-0008-0000-04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2" name="TextBox 11">
          <a:extLst>
            <a:ext uri="{FF2B5EF4-FFF2-40B4-BE49-F238E27FC236}">
              <a16:creationId xmlns:a16="http://schemas.microsoft.com/office/drawing/2014/main" id="{00000000-0008-0000-04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3" name="TextBox 12">
          <a:extLst>
            <a:ext uri="{FF2B5EF4-FFF2-40B4-BE49-F238E27FC236}">
              <a16:creationId xmlns:a16="http://schemas.microsoft.com/office/drawing/2014/main" id="{00000000-0008-0000-04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4" name="TextBox 13">
          <a:extLst>
            <a:ext uri="{FF2B5EF4-FFF2-40B4-BE49-F238E27FC236}">
              <a16:creationId xmlns:a16="http://schemas.microsoft.com/office/drawing/2014/main" id="{00000000-0008-0000-04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5" name="TextBox 14">
          <a:extLst>
            <a:ext uri="{FF2B5EF4-FFF2-40B4-BE49-F238E27FC236}">
              <a16:creationId xmlns:a16="http://schemas.microsoft.com/office/drawing/2014/main" id="{00000000-0008-0000-04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6" name="TextBox 15">
          <a:extLst>
            <a:ext uri="{FF2B5EF4-FFF2-40B4-BE49-F238E27FC236}">
              <a16:creationId xmlns:a16="http://schemas.microsoft.com/office/drawing/2014/main" id="{00000000-0008-0000-04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7" name="TextBox 16">
          <a:extLst>
            <a:ext uri="{FF2B5EF4-FFF2-40B4-BE49-F238E27FC236}">
              <a16:creationId xmlns:a16="http://schemas.microsoft.com/office/drawing/2014/main" id="{00000000-0008-0000-04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8" name="TextBox 17">
          <a:extLst>
            <a:ext uri="{FF2B5EF4-FFF2-40B4-BE49-F238E27FC236}">
              <a16:creationId xmlns:a16="http://schemas.microsoft.com/office/drawing/2014/main" id="{00000000-0008-0000-04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19" name="TextBox 18">
          <a:extLst>
            <a:ext uri="{FF2B5EF4-FFF2-40B4-BE49-F238E27FC236}">
              <a16:creationId xmlns:a16="http://schemas.microsoft.com/office/drawing/2014/main" id="{00000000-0008-0000-04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0" name="TextBox 19">
          <a:extLst>
            <a:ext uri="{FF2B5EF4-FFF2-40B4-BE49-F238E27FC236}">
              <a16:creationId xmlns:a16="http://schemas.microsoft.com/office/drawing/2014/main" id="{00000000-0008-0000-04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1" name="TextBox 20">
          <a:extLst>
            <a:ext uri="{FF2B5EF4-FFF2-40B4-BE49-F238E27FC236}">
              <a16:creationId xmlns:a16="http://schemas.microsoft.com/office/drawing/2014/main" id="{00000000-0008-0000-04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2" name="TextBox 21">
          <a:extLst>
            <a:ext uri="{FF2B5EF4-FFF2-40B4-BE49-F238E27FC236}">
              <a16:creationId xmlns:a16="http://schemas.microsoft.com/office/drawing/2014/main" id="{00000000-0008-0000-04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3" name="TextBox 22">
          <a:extLst>
            <a:ext uri="{FF2B5EF4-FFF2-40B4-BE49-F238E27FC236}">
              <a16:creationId xmlns:a16="http://schemas.microsoft.com/office/drawing/2014/main" id="{00000000-0008-0000-04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4" name="TextBox 23">
          <a:extLst>
            <a:ext uri="{FF2B5EF4-FFF2-40B4-BE49-F238E27FC236}">
              <a16:creationId xmlns:a16="http://schemas.microsoft.com/office/drawing/2014/main" id="{00000000-0008-0000-04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5" name="TextBox 24">
          <a:extLst>
            <a:ext uri="{FF2B5EF4-FFF2-40B4-BE49-F238E27FC236}">
              <a16:creationId xmlns:a16="http://schemas.microsoft.com/office/drawing/2014/main" id="{00000000-0008-0000-04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6" name="TextBox 25">
          <a:extLst>
            <a:ext uri="{FF2B5EF4-FFF2-40B4-BE49-F238E27FC236}">
              <a16:creationId xmlns:a16="http://schemas.microsoft.com/office/drawing/2014/main" id="{00000000-0008-0000-04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7" name="TextBox 26">
          <a:extLst>
            <a:ext uri="{FF2B5EF4-FFF2-40B4-BE49-F238E27FC236}">
              <a16:creationId xmlns:a16="http://schemas.microsoft.com/office/drawing/2014/main" id="{00000000-0008-0000-04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8" name="TextBox 27">
          <a:extLst>
            <a:ext uri="{FF2B5EF4-FFF2-40B4-BE49-F238E27FC236}">
              <a16:creationId xmlns:a16="http://schemas.microsoft.com/office/drawing/2014/main" id="{00000000-0008-0000-04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29" name="TextBox 28">
          <a:extLst>
            <a:ext uri="{FF2B5EF4-FFF2-40B4-BE49-F238E27FC236}">
              <a16:creationId xmlns:a16="http://schemas.microsoft.com/office/drawing/2014/main" id="{00000000-0008-0000-04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0" name="TextBox 29">
          <a:extLst>
            <a:ext uri="{FF2B5EF4-FFF2-40B4-BE49-F238E27FC236}">
              <a16:creationId xmlns:a16="http://schemas.microsoft.com/office/drawing/2014/main" id="{00000000-0008-0000-04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1" name="TextBox 30">
          <a:extLst>
            <a:ext uri="{FF2B5EF4-FFF2-40B4-BE49-F238E27FC236}">
              <a16:creationId xmlns:a16="http://schemas.microsoft.com/office/drawing/2014/main" id="{00000000-0008-0000-04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2" name="TextBox 31">
          <a:extLst>
            <a:ext uri="{FF2B5EF4-FFF2-40B4-BE49-F238E27FC236}">
              <a16:creationId xmlns:a16="http://schemas.microsoft.com/office/drawing/2014/main" id="{00000000-0008-0000-04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3" name="TextBox 32">
          <a:extLst>
            <a:ext uri="{FF2B5EF4-FFF2-40B4-BE49-F238E27FC236}">
              <a16:creationId xmlns:a16="http://schemas.microsoft.com/office/drawing/2014/main" id="{00000000-0008-0000-04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4" name="TextBox 33">
          <a:extLst>
            <a:ext uri="{FF2B5EF4-FFF2-40B4-BE49-F238E27FC236}">
              <a16:creationId xmlns:a16="http://schemas.microsoft.com/office/drawing/2014/main" id="{00000000-0008-0000-04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5" name="TextBox 34">
          <a:extLst>
            <a:ext uri="{FF2B5EF4-FFF2-40B4-BE49-F238E27FC236}">
              <a16:creationId xmlns:a16="http://schemas.microsoft.com/office/drawing/2014/main" id="{00000000-0008-0000-04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6" name="TextBox 35">
          <a:extLst>
            <a:ext uri="{FF2B5EF4-FFF2-40B4-BE49-F238E27FC236}">
              <a16:creationId xmlns:a16="http://schemas.microsoft.com/office/drawing/2014/main" id="{00000000-0008-0000-04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16</xdr:row>
      <xdr:rowOff>84455</xdr:rowOff>
    </xdr:to>
    <xdr:sp macro="" textlink="">
      <xdr:nvSpPr>
        <xdr:cNvPr id="37" name="TextBox 36">
          <a:extLst>
            <a:ext uri="{FF2B5EF4-FFF2-40B4-BE49-F238E27FC236}">
              <a16:creationId xmlns:a16="http://schemas.microsoft.com/office/drawing/2014/main" id="{00000000-0008-0000-04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358140</xdr:colOff>
      <xdr:row>2</xdr:row>
      <xdr:rowOff>15240</xdr:rowOff>
    </xdr:from>
    <xdr:to>
      <xdr:col>1</xdr:col>
      <xdr:colOff>1371600</xdr:colOff>
      <xdr:row>2</xdr:row>
      <xdr:rowOff>15240</xdr:rowOff>
    </xdr:to>
    <xdr:cxnSp macro="">
      <xdr:nvCxnSpPr>
        <xdr:cNvPr id="38" name="Straight Connector 37">
          <a:extLst>
            <a:ext uri="{FF2B5EF4-FFF2-40B4-BE49-F238E27FC236}">
              <a16:creationId xmlns:a16="http://schemas.microsoft.com/office/drawing/2014/main" id="{78F6C6FF-3025-486E-997B-42CDE7914A4C}"/>
            </a:ext>
          </a:extLst>
        </xdr:cNvPr>
        <xdr:cNvCxnSpPr/>
      </xdr:nvCxnSpPr>
      <xdr:spPr>
        <a:xfrm>
          <a:off x="769620" y="38100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21</xdr:row>
      <xdr:rowOff>46355</xdr:rowOff>
    </xdr:to>
    <xdr:sp macro="" textlink="">
      <xdr:nvSpPr>
        <xdr:cNvPr id="2" name="TextBox 1">
          <a:extLst>
            <a:ext uri="{FF2B5EF4-FFF2-40B4-BE49-F238E27FC236}">
              <a16:creationId xmlns:a16="http://schemas.microsoft.com/office/drawing/2014/main" id="{00000000-0008-0000-05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 name="TextBox 2">
          <a:extLst>
            <a:ext uri="{FF2B5EF4-FFF2-40B4-BE49-F238E27FC236}">
              <a16:creationId xmlns:a16="http://schemas.microsoft.com/office/drawing/2014/main" id="{00000000-0008-0000-05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 name="TextBox 3">
          <a:extLst>
            <a:ext uri="{FF2B5EF4-FFF2-40B4-BE49-F238E27FC236}">
              <a16:creationId xmlns:a16="http://schemas.microsoft.com/office/drawing/2014/main" id="{00000000-0008-0000-05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 name="TextBox 4">
          <a:extLst>
            <a:ext uri="{FF2B5EF4-FFF2-40B4-BE49-F238E27FC236}">
              <a16:creationId xmlns:a16="http://schemas.microsoft.com/office/drawing/2014/main" id="{00000000-0008-0000-05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 name="TextBox 5">
          <a:extLst>
            <a:ext uri="{FF2B5EF4-FFF2-40B4-BE49-F238E27FC236}">
              <a16:creationId xmlns:a16="http://schemas.microsoft.com/office/drawing/2014/main" id="{00000000-0008-0000-05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7" name="TextBox 6">
          <a:extLst>
            <a:ext uri="{FF2B5EF4-FFF2-40B4-BE49-F238E27FC236}">
              <a16:creationId xmlns:a16="http://schemas.microsoft.com/office/drawing/2014/main" id="{00000000-0008-0000-05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8" name="TextBox 7">
          <a:extLst>
            <a:ext uri="{FF2B5EF4-FFF2-40B4-BE49-F238E27FC236}">
              <a16:creationId xmlns:a16="http://schemas.microsoft.com/office/drawing/2014/main" id="{00000000-0008-0000-05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9" name="TextBox 8">
          <a:extLst>
            <a:ext uri="{FF2B5EF4-FFF2-40B4-BE49-F238E27FC236}">
              <a16:creationId xmlns:a16="http://schemas.microsoft.com/office/drawing/2014/main" id="{00000000-0008-0000-05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0" name="TextBox 9">
          <a:extLst>
            <a:ext uri="{FF2B5EF4-FFF2-40B4-BE49-F238E27FC236}">
              <a16:creationId xmlns:a16="http://schemas.microsoft.com/office/drawing/2014/main" id="{00000000-0008-0000-05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1" name="TextBox 10">
          <a:extLst>
            <a:ext uri="{FF2B5EF4-FFF2-40B4-BE49-F238E27FC236}">
              <a16:creationId xmlns:a16="http://schemas.microsoft.com/office/drawing/2014/main" id="{00000000-0008-0000-05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2" name="TextBox 11">
          <a:extLst>
            <a:ext uri="{FF2B5EF4-FFF2-40B4-BE49-F238E27FC236}">
              <a16:creationId xmlns:a16="http://schemas.microsoft.com/office/drawing/2014/main" id="{00000000-0008-0000-05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3" name="TextBox 12">
          <a:extLst>
            <a:ext uri="{FF2B5EF4-FFF2-40B4-BE49-F238E27FC236}">
              <a16:creationId xmlns:a16="http://schemas.microsoft.com/office/drawing/2014/main" id="{00000000-0008-0000-05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4" name="TextBox 13">
          <a:extLst>
            <a:ext uri="{FF2B5EF4-FFF2-40B4-BE49-F238E27FC236}">
              <a16:creationId xmlns:a16="http://schemas.microsoft.com/office/drawing/2014/main" id="{00000000-0008-0000-05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5" name="TextBox 14">
          <a:extLst>
            <a:ext uri="{FF2B5EF4-FFF2-40B4-BE49-F238E27FC236}">
              <a16:creationId xmlns:a16="http://schemas.microsoft.com/office/drawing/2014/main" id="{00000000-0008-0000-05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6" name="TextBox 15">
          <a:extLst>
            <a:ext uri="{FF2B5EF4-FFF2-40B4-BE49-F238E27FC236}">
              <a16:creationId xmlns:a16="http://schemas.microsoft.com/office/drawing/2014/main" id="{00000000-0008-0000-05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7" name="TextBox 16">
          <a:extLst>
            <a:ext uri="{FF2B5EF4-FFF2-40B4-BE49-F238E27FC236}">
              <a16:creationId xmlns:a16="http://schemas.microsoft.com/office/drawing/2014/main" id="{00000000-0008-0000-05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8" name="TextBox 17">
          <a:extLst>
            <a:ext uri="{FF2B5EF4-FFF2-40B4-BE49-F238E27FC236}">
              <a16:creationId xmlns:a16="http://schemas.microsoft.com/office/drawing/2014/main" id="{00000000-0008-0000-05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19" name="TextBox 18">
          <a:extLst>
            <a:ext uri="{FF2B5EF4-FFF2-40B4-BE49-F238E27FC236}">
              <a16:creationId xmlns:a16="http://schemas.microsoft.com/office/drawing/2014/main" id="{00000000-0008-0000-05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0" name="TextBox 19">
          <a:extLst>
            <a:ext uri="{FF2B5EF4-FFF2-40B4-BE49-F238E27FC236}">
              <a16:creationId xmlns:a16="http://schemas.microsoft.com/office/drawing/2014/main" id="{00000000-0008-0000-05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1" name="TextBox 20">
          <a:extLst>
            <a:ext uri="{FF2B5EF4-FFF2-40B4-BE49-F238E27FC236}">
              <a16:creationId xmlns:a16="http://schemas.microsoft.com/office/drawing/2014/main" id="{00000000-0008-0000-05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2" name="TextBox 21">
          <a:extLst>
            <a:ext uri="{FF2B5EF4-FFF2-40B4-BE49-F238E27FC236}">
              <a16:creationId xmlns:a16="http://schemas.microsoft.com/office/drawing/2014/main" id="{00000000-0008-0000-05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3" name="TextBox 22">
          <a:extLst>
            <a:ext uri="{FF2B5EF4-FFF2-40B4-BE49-F238E27FC236}">
              <a16:creationId xmlns:a16="http://schemas.microsoft.com/office/drawing/2014/main" id="{00000000-0008-0000-05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4" name="TextBox 23">
          <a:extLst>
            <a:ext uri="{FF2B5EF4-FFF2-40B4-BE49-F238E27FC236}">
              <a16:creationId xmlns:a16="http://schemas.microsoft.com/office/drawing/2014/main" id="{00000000-0008-0000-05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5" name="TextBox 24">
          <a:extLst>
            <a:ext uri="{FF2B5EF4-FFF2-40B4-BE49-F238E27FC236}">
              <a16:creationId xmlns:a16="http://schemas.microsoft.com/office/drawing/2014/main" id="{00000000-0008-0000-05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6" name="TextBox 25">
          <a:extLst>
            <a:ext uri="{FF2B5EF4-FFF2-40B4-BE49-F238E27FC236}">
              <a16:creationId xmlns:a16="http://schemas.microsoft.com/office/drawing/2014/main" id="{00000000-0008-0000-05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7" name="TextBox 26">
          <a:extLst>
            <a:ext uri="{FF2B5EF4-FFF2-40B4-BE49-F238E27FC236}">
              <a16:creationId xmlns:a16="http://schemas.microsoft.com/office/drawing/2014/main" id="{00000000-0008-0000-05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8" name="TextBox 27">
          <a:extLst>
            <a:ext uri="{FF2B5EF4-FFF2-40B4-BE49-F238E27FC236}">
              <a16:creationId xmlns:a16="http://schemas.microsoft.com/office/drawing/2014/main" id="{00000000-0008-0000-05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29" name="TextBox 28">
          <a:extLst>
            <a:ext uri="{FF2B5EF4-FFF2-40B4-BE49-F238E27FC236}">
              <a16:creationId xmlns:a16="http://schemas.microsoft.com/office/drawing/2014/main" id="{00000000-0008-0000-05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0" name="TextBox 29">
          <a:extLst>
            <a:ext uri="{FF2B5EF4-FFF2-40B4-BE49-F238E27FC236}">
              <a16:creationId xmlns:a16="http://schemas.microsoft.com/office/drawing/2014/main" id="{00000000-0008-0000-05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1" name="TextBox 30">
          <a:extLst>
            <a:ext uri="{FF2B5EF4-FFF2-40B4-BE49-F238E27FC236}">
              <a16:creationId xmlns:a16="http://schemas.microsoft.com/office/drawing/2014/main" id="{00000000-0008-0000-05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2" name="TextBox 31">
          <a:extLst>
            <a:ext uri="{FF2B5EF4-FFF2-40B4-BE49-F238E27FC236}">
              <a16:creationId xmlns:a16="http://schemas.microsoft.com/office/drawing/2014/main" id="{00000000-0008-0000-05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3" name="TextBox 32">
          <a:extLst>
            <a:ext uri="{FF2B5EF4-FFF2-40B4-BE49-F238E27FC236}">
              <a16:creationId xmlns:a16="http://schemas.microsoft.com/office/drawing/2014/main" id="{00000000-0008-0000-05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4" name="TextBox 33">
          <a:extLst>
            <a:ext uri="{FF2B5EF4-FFF2-40B4-BE49-F238E27FC236}">
              <a16:creationId xmlns:a16="http://schemas.microsoft.com/office/drawing/2014/main" id="{00000000-0008-0000-05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5" name="TextBox 34">
          <a:extLst>
            <a:ext uri="{FF2B5EF4-FFF2-40B4-BE49-F238E27FC236}">
              <a16:creationId xmlns:a16="http://schemas.microsoft.com/office/drawing/2014/main" id="{00000000-0008-0000-05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6" name="TextBox 35">
          <a:extLst>
            <a:ext uri="{FF2B5EF4-FFF2-40B4-BE49-F238E27FC236}">
              <a16:creationId xmlns:a16="http://schemas.microsoft.com/office/drawing/2014/main" id="{00000000-0008-0000-05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7" name="TextBox 36">
          <a:extLst>
            <a:ext uri="{FF2B5EF4-FFF2-40B4-BE49-F238E27FC236}">
              <a16:creationId xmlns:a16="http://schemas.microsoft.com/office/drawing/2014/main" id="{00000000-0008-0000-05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8" name="TextBox 37">
          <a:extLst>
            <a:ext uri="{FF2B5EF4-FFF2-40B4-BE49-F238E27FC236}">
              <a16:creationId xmlns:a16="http://schemas.microsoft.com/office/drawing/2014/main" id="{00000000-0008-0000-0500-000026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39" name="TextBox 38">
          <a:extLst>
            <a:ext uri="{FF2B5EF4-FFF2-40B4-BE49-F238E27FC236}">
              <a16:creationId xmlns:a16="http://schemas.microsoft.com/office/drawing/2014/main" id="{00000000-0008-0000-0500-000027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0" name="TextBox 39">
          <a:extLst>
            <a:ext uri="{FF2B5EF4-FFF2-40B4-BE49-F238E27FC236}">
              <a16:creationId xmlns:a16="http://schemas.microsoft.com/office/drawing/2014/main" id="{00000000-0008-0000-0500-000028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1" name="TextBox 40">
          <a:extLst>
            <a:ext uri="{FF2B5EF4-FFF2-40B4-BE49-F238E27FC236}">
              <a16:creationId xmlns:a16="http://schemas.microsoft.com/office/drawing/2014/main" id="{00000000-0008-0000-0500-000029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2" name="TextBox 41">
          <a:extLst>
            <a:ext uri="{FF2B5EF4-FFF2-40B4-BE49-F238E27FC236}">
              <a16:creationId xmlns:a16="http://schemas.microsoft.com/office/drawing/2014/main" id="{00000000-0008-0000-0500-00002A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3" name="TextBox 42">
          <a:extLst>
            <a:ext uri="{FF2B5EF4-FFF2-40B4-BE49-F238E27FC236}">
              <a16:creationId xmlns:a16="http://schemas.microsoft.com/office/drawing/2014/main" id="{00000000-0008-0000-0500-00002B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4" name="TextBox 43">
          <a:extLst>
            <a:ext uri="{FF2B5EF4-FFF2-40B4-BE49-F238E27FC236}">
              <a16:creationId xmlns:a16="http://schemas.microsoft.com/office/drawing/2014/main" id="{00000000-0008-0000-0500-00002C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5" name="TextBox 44">
          <a:extLst>
            <a:ext uri="{FF2B5EF4-FFF2-40B4-BE49-F238E27FC236}">
              <a16:creationId xmlns:a16="http://schemas.microsoft.com/office/drawing/2014/main" id="{00000000-0008-0000-0500-00002D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6" name="TextBox 45">
          <a:extLst>
            <a:ext uri="{FF2B5EF4-FFF2-40B4-BE49-F238E27FC236}">
              <a16:creationId xmlns:a16="http://schemas.microsoft.com/office/drawing/2014/main" id="{00000000-0008-0000-0500-00002E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7" name="TextBox 46">
          <a:extLst>
            <a:ext uri="{FF2B5EF4-FFF2-40B4-BE49-F238E27FC236}">
              <a16:creationId xmlns:a16="http://schemas.microsoft.com/office/drawing/2014/main" id="{00000000-0008-0000-0500-00002F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8" name="TextBox 47">
          <a:extLst>
            <a:ext uri="{FF2B5EF4-FFF2-40B4-BE49-F238E27FC236}">
              <a16:creationId xmlns:a16="http://schemas.microsoft.com/office/drawing/2014/main" id="{00000000-0008-0000-0500-000030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49" name="TextBox 48">
          <a:extLst>
            <a:ext uri="{FF2B5EF4-FFF2-40B4-BE49-F238E27FC236}">
              <a16:creationId xmlns:a16="http://schemas.microsoft.com/office/drawing/2014/main" id="{00000000-0008-0000-0500-000031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0" name="TextBox 49">
          <a:extLst>
            <a:ext uri="{FF2B5EF4-FFF2-40B4-BE49-F238E27FC236}">
              <a16:creationId xmlns:a16="http://schemas.microsoft.com/office/drawing/2014/main" id="{00000000-0008-0000-0500-000032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1" name="TextBox 50">
          <a:extLst>
            <a:ext uri="{FF2B5EF4-FFF2-40B4-BE49-F238E27FC236}">
              <a16:creationId xmlns:a16="http://schemas.microsoft.com/office/drawing/2014/main" id="{00000000-0008-0000-0500-000033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2" name="TextBox 51">
          <a:extLst>
            <a:ext uri="{FF2B5EF4-FFF2-40B4-BE49-F238E27FC236}">
              <a16:creationId xmlns:a16="http://schemas.microsoft.com/office/drawing/2014/main" id="{00000000-0008-0000-0500-000034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3" name="TextBox 52">
          <a:extLst>
            <a:ext uri="{FF2B5EF4-FFF2-40B4-BE49-F238E27FC236}">
              <a16:creationId xmlns:a16="http://schemas.microsoft.com/office/drawing/2014/main" id="{00000000-0008-0000-0500-000035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4" name="TextBox 53">
          <a:extLst>
            <a:ext uri="{FF2B5EF4-FFF2-40B4-BE49-F238E27FC236}">
              <a16:creationId xmlns:a16="http://schemas.microsoft.com/office/drawing/2014/main" id="{00000000-0008-0000-0500-000036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5" name="TextBox 54">
          <a:extLst>
            <a:ext uri="{FF2B5EF4-FFF2-40B4-BE49-F238E27FC236}">
              <a16:creationId xmlns:a16="http://schemas.microsoft.com/office/drawing/2014/main" id="{00000000-0008-0000-0500-000037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6" name="TextBox 55">
          <a:extLst>
            <a:ext uri="{FF2B5EF4-FFF2-40B4-BE49-F238E27FC236}">
              <a16:creationId xmlns:a16="http://schemas.microsoft.com/office/drawing/2014/main" id="{00000000-0008-0000-0500-000038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7" name="TextBox 56">
          <a:extLst>
            <a:ext uri="{FF2B5EF4-FFF2-40B4-BE49-F238E27FC236}">
              <a16:creationId xmlns:a16="http://schemas.microsoft.com/office/drawing/2014/main" id="{00000000-0008-0000-0500-000039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8" name="TextBox 57">
          <a:extLst>
            <a:ext uri="{FF2B5EF4-FFF2-40B4-BE49-F238E27FC236}">
              <a16:creationId xmlns:a16="http://schemas.microsoft.com/office/drawing/2014/main" id="{00000000-0008-0000-0500-00003A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59" name="TextBox 58">
          <a:extLst>
            <a:ext uri="{FF2B5EF4-FFF2-40B4-BE49-F238E27FC236}">
              <a16:creationId xmlns:a16="http://schemas.microsoft.com/office/drawing/2014/main" id="{00000000-0008-0000-0500-00003B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0" name="TextBox 59">
          <a:extLst>
            <a:ext uri="{FF2B5EF4-FFF2-40B4-BE49-F238E27FC236}">
              <a16:creationId xmlns:a16="http://schemas.microsoft.com/office/drawing/2014/main" id="{00000000-0008-0000-0500-00003C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1" name="TextBox 60">
          <a:extLst>
            <a:ext uri="{FF2B5EF4-FFF2-40B4-BE49-F238E27FC236}">
              <a16:creationId xmlns:a16="http://schemas.microsoft.com/office/drawing/2014/main" id="{00000000-0008-0000-0500-00003D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2" name="TextBox 61">
          <a:extLst>
            <a:ext uri="{FF2B5EF4-FFF2-40B4-BE49-F238E27FC236}">
              <a16:creationId xmlns:a16="http://schemas.microsoft.com/office/drawing/2014/main" id="{00000000-0008-0000-0500-00003E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3" name="TextBox 62">
          <a:extLst>
            <a:ext uri="{FF2B5EF4-FFF2-40B4-BE49-F238E27FC236}">
              <a16:creationId xmlns:a16="http://schemas.microsoft.com/office/drawing/2014/main" id="{00000000-0008-0000-0500-00003F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4" name="TextBox 63">
          <a:extLst>
            <a:ext uri="{FF2B5EF4-FFF2-40B4-BE49-F238E27FC236}">
              <a16:creationId xmlns:a16="http://schemas.microsoft.com/office/drawing/2014/main" id="{00000000-0008-0000-0500-000040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5" name="TextBox 64">
          <a:extLst>
            <a:ext uri="{FF2B5EF4-FFF2-40B4-BE49-F238E27FC236}">
              <a16:creationId xmlns:a16="http://schemas.microsoft.com/office/drawing/2014/main" id="{00000000-0008-0000-0500-000041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6" name="TextBox 65">
          <a:extLst>
            <a:ext uri="{FF2B5EF4-FFF2-40B4-BE49-F238E27FC236}">
              <a16:creationId xmlns:a16="http://schemas.microsoft.com/office/drawing/2014/main" id="{00000000-0008-0000-0500-000042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7" name="TextBox 66">
          <a:extLst>
            <a:ext uri="{FF2B5EF4-FFF2-40B4-BE49-F238E27FC236}">
              <a16:creationId xmlns:a16="http://schemas.microsoft.com/office/drawing/2014/main" id="{00000000-0008-0000-0500-000043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8" name="TextBox 67">
          <a:extLst>
            <a:ext uri="{FF2B5EF4-FFF2-40B4-BE49-F238E27FC236}">
              <a16:creationId xmlns:a16="http://schemas.microsoft.com/office/drawing/2014/main" id="{00000000-0008-0000-0500-000044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69" name="TextBox 68">
          <a:extLst>
            <a:ext uri="{FF2B5EF4-FFF2-40B4-BE49-F238E27FC236}">
              <a16:creationId xmlns:a16="http://schemas.microsoft.com/office/drawing/2014/main" id="{00000000-0008-0000-0500-000045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70" name="TextBox 69">
          <a:extLst>
            <a:ext uri="{FF2B5EF4-FFF2-40B4-BE49-F238E27FC236}">
              <a16:creationId xmlns:a16="http://schemas.microsoft.com/office/drawing/2014/main" id="{00000000-0008-0000-0500-000046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71" name="TextBox 70">
          <a:extLst>
            <a:ext uri="{FF2B5EF4-FFF2-40B4-BE49-F238E27FC236}">
              <a16:creationId xmlns:a16="http://schemas.microsoft.com/office/drawing/2014/main" id="{00000000-0008-0000-0500-000047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72" name="TextBox 71">
          <a:extLst>
            <a:ext uri="{FF2B5EF4-FFF2-40B4-BE49-F238E27FC236}">
              <a16:creationId xmlns:a16="http://schemas.microsoft.com/office/drawing/2014/main" id="{00000000-0008-0000-0500-000048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21</xdr:row>
      <xdr:rowOff>46355</xdr:rowOff>
    </xdr:to>
    <xdr:sp macro="" textlink="">
      <xdr:nvSpPr>
        <xdr:cNvPr id="73" name="TextBox 72">
          <a:extLst>
            <a:ext uri="{FF2B5EF4-FFF2-40B4-BE49-F238E27FC236}">
              <a16:creationId xmlns:a16="http://schemas.microsoft.com/office/drawing/2014/main" id="{00000000-0008-0000-0500-000049000000}"/>
            </a:ext>
          </a:extLst>
        </xdr:cNvPr>
        <xdr:cNvSpPr txBox="1">
          <a:spLocks noChangeArrowheads="1"/>
        </xdr:cNvSpPr>
      </xdr:nvSpPr>
      <xdr:spPr bwMode="auto">
        <a:xfrm>
          <a:off x="0" y="205740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4" name="TextBox 73">
          <a:extLst>
            <a:ext uri="{FF2B5EF4-FFF2-40B4-BE49-F238E27FC236}">
              <a16:creationId xmlns:a16="http://schemas.microsoft.com/office/drawing/2014/main" id="{841FD041-30F6-4722-8732-B0874CFA0B68}"/>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5" name="TextBox 74">
          <a:extLst>
            <a:ext uri="{FF2B5EF4-FFF2-40B4-BE49-F238E27FC236}">
              <a16:creationId xmlns:a16="http://schemas.microsoft.com/office/drawing/2014/main" id="{E038E693-6898-498E-BFA2-B0D2D5D1B654}"/>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6" name="TextBox 75">
          <a:extLst>
            <a:ext uri="{FF2B5EF4-FFF2-40B4-BE49-F238E27FC236}">
              <a16:creationId xmlns:a16="http://schemas.microsoft.com/office/drawing/2014/main" id="{6FC4AC1C-9B6C-4C0E-A370-1D82BFFA9BE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7" name="TextBox 76">
          <a:extLst>
            <a:ext uri="{FF2B5EF4-FFF2-40B4-BE49-F238E27FC236}">
              <a16:creationId xmlns:a16="http://schemas.microsoft.com/office/drawing/2014/main" id="{D0059583-39BF-4CBC-9750-549E64E22FC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8" name="TextBox 77">
          <a:extLst>
            <a:ext uri="{FF2B5EF4-FFF2-40B4-BE49-F238E27FC236}">
              <a16:creationId xmlns:a16="http://schemas.microsoft.com/office/drawing/2014/main" id="{EC3F4492-E2F5-460C-AE52-1C6A7A4E23FF}"/>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79" name="TextBox 78">
          <a:extLst>
            <a:ext uri="{FF2B5EF4-FFF2-40B4-BE49-F238E27FC236}">
              <a16:creationId xmlns:a16="http://schemas.microsoft.com/office/drawing/2014/main" id="{A8430E23-8E8A-4273-AFFA-6E6F7E6DEA6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0" name="TextBox 79">
          <a:extLst>
            <a:ext uri="{FF2B5EF4-FFF2-40B4-BE49-F238E27FC236}">
              <a16:creationId xmlns:a16="http://schemas.microsoft.com/office/drawing/2014/main" id="{CFC3E4C1-A8EF-4EF1-A26F-054483F0EE4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1" name="TextBox 80">
          <a:extLst>
            <a:ext uri="{FF2B5EF4-FFF2-40B4-BE49-F238E27FC236}">
              <a16:creationId xmlns:a16="http://schemas.microsoft.com/office/drawing/2014/main" id="{C179860F-6746-4EE2-9CC0-6FA0D042DA2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2" name="TextBox 81">
          <a:extLst>
            <a:ext uri="{FF2B5EF4-FFF2-40B4-BE49-F238E27FC236}">
              <a16:creationId xmlns:a16="http://schemas.microsoft.com/office/drawing/2014/main" id="{6A263C48-6539-4AC0-96CE-A840A2BC79D9}"/>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3" name="TextBox 82">
          <a:extLst>
            <a:ext uri="{FF2B5EF4-FFF2-40B4-BE49-F238E27FC236}">
              <a16:creationId xmlns:a16="http://schemas.microsoft.com/office/drawing/2014/main" id="{44CBD30C-DE5F-42F3-A59F-2AEDAB520C2C}"/>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4" name="TextBox 83">
          <a:extLst>
            <a:ext uri="{FF2B5EF4-FFF2-40B4-BE49-F238E27FC236}">
              <a16:creationId xmlns:a16="http://schemas.microsoft.com/office/drawing/2014/main" id="{6214C625-B000-4B25-AB51-0A2C91C7100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5" name="TextBox 84">
          <a:extLst>
            <a:ext uri="{FF2B5EF4-FFF2-40B4-BE49-F238E27FC236}">
              <a16:creationId xmlns:a16="http://schemas.microsoft.com/office/drawing/2014/main" id="{BCA0911E-F3E2-4E05-A858-2EA7A2FC9BBF}"/>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6" name="TextBox 85">
          <a:extLst>
            <a:ext uri="{FF2B5EF4-FFF2-40B4-BE49-F238E27FC236}">
              <a16:creationId xmlns:a16="http://schemas.microsoft.com/office/drawing/2014/main" id="{6E084AE3-4EC9-483F-A753-8B373463820A}"/>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7" name="TextBox 86">
          <a:extLst>
            <a:ext uri="{FF2B5EF4-FFF2-40B4-BE49-F238E27FC236}">
              <a16:creationId xmlns:a16="http://schemas.microsoft.com/office/drawing/2014/main" id="{25ECE43A-639F-419B-9595-F423108B613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8" name="TextBox 87">
          <a:extLst>
            <a:ext uri="{FF2B5EF4-FFF2-40B4-BE49-F238E27FC236}">
              <a16:creationId xmlns:a16="http://schemas.microsoft.com/office/drawing/2014/main" id="{E7B4361B-B509-4F9E-B738-CAE79D03806E}"/>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89" name="TextBox 88">
          <a:extLst>
            <a:ext uri="{FF2B5EF4-FFF2-40B4-BE49-F238E27FC236}">
              <a16:creationId xmlns:a16="http://schemas.microsoft.com/office/drawing/2014/main" id="{C749B6B6-F918-456D-BA87-5CE567C0C77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0" name="TextBox 89">
          <a:extLst>
            <a:ext uri="{FF2B5EF4-FFF2-40B4-BE49-F238E27FC236}">
              <a16:creationId xmlns:a16="http://schemas.microsoft.com/office/drawing/2014/main" id="{18777141-B821-45F5-98C9-994C5A534C5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1" name="TextBox 90">
          <a:extLst>
            <a:ext uri="{FF2B5EF4-FFF2-40B4-BE49-F238E27FC236}">
              <a16:creationId xmlns:a16="http://schemas.microsoft.com/office/drawing/2014/main" id="{5E3E6AC0-013B-4FAD-B7F6-89BB9208A1CE}"/>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2" name="TextBox 91">
          <a:extLst>
            <a:ext uri="{FF2B5EF4-FFF2-40B4-BE49-F238E27FC236}">
              <a16:creationId xmlns:a16="http://schemas.microsoft.com/office/drawing/2014/main" id="{9C2348A7-2CC7-4984-8D8B-54308F15A5D8}"/>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3" name="TextBox 92">
          <a:extLst>
            <a:ext uri="{FF2B5EF4-FFF2-40B4-BE49-F238E27FC236}">
              <a16:creationId xmlns:a16="http://schemas.microsoft.com/office/drawing/2014/main" id="{8D820607-D7F5-4093-9238-144C4553777A}"/>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4" name="TextBox 93">
          <a:extLst>
            <a:ext uri="{FF2B5EF4-FFF2-40B4-BE49-F238E27FC236}">
              <a16:creationId xmlns:a16="http://schemas.microsoft.com/office/drawing/2014/main" id="{63FF350C-049C-44C0-854D-B085A1CE33FB}"/>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5" name="TextBox 94">
          <a:extLst>
            <a:ext uri="{FF2B5EF4-FFF2-40B4-BE49-F238E27FC236}">
              <a16:creationId xmlns:a16="http://schemas.microsoft.com/office/drawing/2014/main" id="{265E6541-3712-4F51-B404-6A80E3E6421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6" name="TextBox 95">
          <a:extLst>
            <a:ext uri="{FF2B5EF4-FFF2-40B4-BE49-F238E27FC236}">
              <a16:creationId xmlns:a16="http://schemas.microsoft.com/office/drawing/2014/main" id="{4000124B-166E-4AC7-8094-A5AEEC1F76E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7" name="TextBox 96">
          <a:extLst>
            <a:ext uri="{FF2B5EF4-FFF2-40B4-BE49-F238E27FC236}">
              <a16:creationId xmlns:a16="http://schemas.microsoft.com/office/drawing/2014/main" id="{11D9D4EF-4524-4BD5-9978-2267EA02F05D}"/>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8" name="TextBox 97">
          <a:extLst>
            <a:ext uri="{FF2B5EF4-FFF2-40B4-BE49-F238E27FC236}">
              <a16:creationId xmlns:a16="http://schemas.microsoft.com/office/drawing/2014/main" id="{5D62043A-D795-40B2-AC02-A09FA59CE22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99" name="TextBox 98">
          <a:extLst>
            <a:ext uri="{FF2B5EF4-FFF2-40B4-BE49-F238E27FC236}">
              <a16:creationId xmlns:a16="http://schemas.microsoft.com/office/drawing/2014/main" id="{F3620D8D-14F7-4F63-9A0B-F55252D3BE16}"/>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0" name="TextBox 99">
          <a:extLst>
            <a:ext uri="{FF2B5EF4-FFF2-40B4-BE49-F238E27FC236}">
              <a16:creationId xmlns:a16="http://schemas.microsoft.com/office/drawing/2014/main" id="{82944FF2-85A8-4FFA-93F1-2B0E1867B85E}"/>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1" name="TextBox 100">
          <a:extLst>
            <a:ext uri="{FF2B5EF4-FFF2-40B4-BE49-F238E27FC236}">
              <a16:creationId xmlns:a16="http://schemas.microsoft.com/office/drawing/2014/main" id="{35C46A10-2298-4048-B2ED-C1E955275A1A}"/>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2" name="TextBox 101">
          <a:extLst>
            <a:ext uri="{FF2B5EF4-FFF2-40B4-BE49-F238E27FC236}">
              <a16:creationId xmlns:a16="http://schemas.microsoft.com/office/drawing/2014/main" id="{D86783CD-884A-4BA9-90AC-E698ACF6E89D}"/>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3" name="TextBox 102">
          <a:extLst>
            <a:ext uri="{FF2B5EF4-FFF2-40B4-BE49-F238E27FC236}">
              <a16:creationId xmlns:a16="http://schemas.microsoft.com/office/drawing/2014/main" id="{9DED061F-3E28-4D10-820E-3B70A6E4F2C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4" name="TextBox 103">
          <a:extLst>
            <a:ext uri="{FF2B5EF4-FFF2-40B4-BE49-F238E27FC236}">
              <a16:creationId xmlns:a16="http://schemas.microsoft.com/office/drawing/2014/main" id="{3169A17A-CC55-40C9-A700-34767223007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5" name="TextBox 104">
          <a:extLst>
            <a:ext uri="{FF2B5EF4-FFF2-40B4-BE49-F238E27FC236}">
              <a16:creationId xmlns:a16="http://schemas.microsoft.com/office/drawing/2014/main" id="{001A8190-8997-4464-9BEE-5650ECFB13A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6" name="TextBox 105">
          <a:extLst>
            <a:ext uri="{FF2B5EF4-FFF2-40B4-BE49-F238E27FC236}">
              <a16:creationId xmlns:a16="http://schemas.microsoft.com/office/drawing/2014/main" id="{14509AFB-F350-432C-8CDB-0209010E52C4}"/>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7" name="TextBox 106">
          <a:extLst>
            <a:ext uri="{FF2B5EF4-FFF2-40B4-BE49-F238E27FC236}">
              <a16:creationId xmlns:a16="http://schemas.microsoft.com/office/drawing/2014/main" id="{A7554391-95AB-4048-BF7C-4BBE976D5F84}"/>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8" name="TextBox 107">
          <a:extLst>
            <a:ext uri="{FF2B5EF4-FFF2-40B4-BE49-F238E27FC236}">
              <a16:creationId xmlns:a16="http://schemas.microsoft.com/office/drawing/2014/main" id="{85AA9BA4-A53C-4DF7-9407-D39C4F56D04B}"/>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09" name="TextBox 108">
          <a:extLst>
            <a:ext uri="{FF2B5EF4-FFF2-40B4-BE49-F238E27FC236}">
              <a16:creationId xmlns:a16="http://schemas.microsoft.com/office/drawing/2014/main" id="{991FA12C-7996-49B0-902F-CF4577EF0E4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0" name="TextBox 109">
          <a:extLst>
            <a:ext uri="{FF2B5EF4-FFF2-40B4-BE49-F238E27FC236}">
              <a16:creationId xmlns:a16="http://schemas.microsoft.com/office/drawing/2014/main" id="{8B6BEC26-A251-40BD-8151-01B7B98DC282}"/>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1" name="TextBox 110">
          <a:extLst>
            <a:ext uri="{FF2B5EF4-FFF2-40B4-BE49-F238E27FC236}">
              <a16:creationId xmlns:a16="http://schemas.microsoft.com/office/drawing/2014/main" id="{7CAB4D8E-22DD-494E-9BE6-94CBC89BD21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2" name="TextBox 111">
          <a:extLst>
            <a:ext uri="{FF2B5EF4-FFF2-40B4-BE49-F238E27FC236}">
              <a16:creationId xmlns:a16="http://schemas.microsoft.com/office/drawing/2014/main" id="{AB7660DE-31A6-4E6A-B662-69956470D614}"/>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3" name="TextBox 112">
          <a:extLst>
            <a:ext uri="{FF2B5EF4-FFF2-40B4-BE49-F238E27FC236}">
              <a16:creationId xmlns:a16="http://schemas.microsoft.com/office/drawing/2014/main" id="{49C45DA2-1A4F-4D82-AF40-41325285DB6E}"/>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4" name="TextBox 113">
          <a:extLst>
            <a:ext uri="{FF2B5EF4-FFF2-40B4-BE49-F238E27FC236}">
              <a16:creationId xmlns:a16="http://schemas.microsoft.com/office/drawing/2014/main" id="{86368993-7554-4148-B3F4-D672830BDA5E}"/>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5" name="TextBox 114">
          <a:extLst>
            <a:ext uri="{FF2B5EF4-FFF2-40B4-BE49-F238E27FC236}">
              <a16:creationId xmlns:a16="http://schemas.microsoft.com/office/drawing/2014/main" id="{E3748FF2-9AA6-4BD3-ADF8-5077884E69E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6" name="TextBox 115">
          <a:extLst>
            <a:ext uri="{FF2B5EF4-FFF2-40B4-BE49-F238E27FC236}">
              <a16:creationId xmlns:a16="http://schemas.microsoft.com/office/drawing/2014/main" id="{7133924C-6C32-4D42-9917-3C453E0A1549}"/>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7" name="TextBox 116">
          <a:extLst>
            <a:ext uri="{FF2B5EF4-FFF2-40B4-BE49-F238E27FC236}">
              <a16:creationId xmlns:a16="http://schemas.microsoft.com/office/drawing/2014/main" id="{8E95B8AA-DE0F-43A8-BF84-773D4B2A22F4}"/>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8" name="TextBox 117">
          <a:extLst>
            <a:ext uri="{FF2B5EF4-FFF2-40B4-BE49-F238E27FC236}">
              <a16:creationId xmlns:a16="http://schemas.microsoft.com/office/drawing/2014/main" id="{AFF908E0-05CF-4B02-B004-6A43FBEFA22F}"/>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19" name="TextBox 118">
          <a:extLst>
            <a:ext uri="{FF2B5EF4-FFF2-40B4-BE49-F238E27FC236}">
              <a16:creationId xmlns:a16="http://schemas.microsoft.com/office/drawing/2014/main" id="{82F9AC6B-E35D-4BBF-BE05-DAF05EC6F42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0" name="TextBox 119">
          <a:extLst>
            <a:ext uri="{FF2B5EF4-FFF2-40B4-BE49-F238E27FC236}">
              <a16:creationId xmlns:a16="http://schemas.microsoft.com/office/drawing/2014/main" id="{63A70B9B-E24D-435D-B330-AF8F97444DBF}"/>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1" name="TextBox 120">
          <a:extLst>
            <a:ext uri="{FF2B5EF4-FFF2-40B4-BE49-F238E27FC236}">
              <a16:creationId xmlns:a16="http://schemas.microsoft.com/office/drawing/2014/main" id="{EBB3AC96-172A-454B-9B46-753093DEAFC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2" name="TextBox 121">
          <a:extLst>
            <a:ext uri="{FF2B5EF4-FFF2-40B4-BE49-F238E27FC236}">
              <a16:creationId xmlns:a16="http://schemas.microsoft.com/office/drawing/2014/main" id="{F1BA79E5-24EB-4B96-A9F6-8285C9C1216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3" name="TextBox 122">
          <a:extLst>
            <a:ext uri="{FF2B5EF4-FFF2-40B4-BE49-F238E27FC236}">
              <a16:creationId xmlns:a16="http://schemas.microsoft.com/office/drawing/2014/main" id="{992245FC-7FB7-468A-AF76-8A7A51DC72D2}"/>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4" name="TextBox 123">
          <a:extLst>
            <a:ext uri="{FF2B5EF4-FFF2-40B4-BE49-F238E27FC236}">
              <a16:creationId xmlns:a16="http://schemas.microsoft.com/office/drawing/2014/main" id="{FBBC8F2B-D4F7-4DC1-9C7E-7904D400CC39}"/>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5" name="TextBox 124">
          <a:extLst>
            <a:ext uri="{FF2B5EF4-FFF2-40B4-BE49-F238E27FC236}">
              <a16:creationId xmlns:a16="http://schemas.microsoft.com/office/drawing/2014/main" id="{F038E756-1F47-44EC-870D-ECE73141861D}"/>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6" name="TextBox 125">
          <a:extLst>
            <a:ext uri="{FF2B5EF4-FFF2-40B4-BE49-F238E27FC236}">
              <a16:creationId xmlns:a16="http://schemas.microsoft.com/office/drawing/2014/main" id="{3163C103-3AFA-46EE-A91B-AF035C51975C}"/>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7" name="TextBox 126">
          <a:extLst>
            <a:ext uri="{FF2B5EF4-FFF2-40B4-BE49-F238E27FC236}">
              <a16:creationId xmlns:a16="http://schemas.microsoft.com/office/drawing/2014/main" id="{1B2B1E22-FA9F-40A7-956F-88D837938D5C}"/>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8" name="TextBox 127">
          <a:extLst>
            <a:ext uri="{FF2B5EF4-FFF2-40B4-BE49-F238E27FC236}">
              <a16:creationId xmlns:a16="http://schemas.microsoft.com/office/drawing/2014/main" id="{240A90A3-3AD8-4E6F-8D8F-0F7CFA782590}"/>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29" name="TextBox 128">
          <a:extLst>
            <a:ext uri="{FF2B5EF4-FFF2-40B4-BE49-F238E27FC236}">
              <a16:creationId xmlns:a16="http://schemas.microsoft.com/office/drawing/2014/main" id="{EED1FD04-0D07-43F6-8137-6BC1EB029D2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0" name="TextBox 129">
          <a:extLst>
            <a:ext uri="{FF2B5EF4-FFF2-40B4-BE49-F238E27FC236}">
              <a16:creationId xmlns:a16="http://schemas.microsoft.com/office/drawing/2014/main" id="{40612FA2-296A-44B7-956E-2A531132F2F7}"/>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1" name="TextBox 130">
          <a:extLst>
            <a:ext uri="{FF2B5EF4-FFF2-40B4-BE49-F238E27FC236}">
              <a16:creationId xmlns:a16="http://schemas.microsoft.com/office/drawing/2014/main" id="{6035A6B1-4A7C-4919-B501-EB112ECD05F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2" name="TextBox 131">
          <a:extLst>
            <a:ext uri="{FF2B5EF4-FFF2-40B4-BE49-F238E27FC236}">
              <a16:creationId xmlns:a16="http://schemas.microsoft.com/office/drawing/2014/main" id="{30546DAA-B073-450B-B9C2-61D963FA5D2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3" name="TextBox 132">
          <a:extLst>
            <a:ext uri="{FF2B5EF4-FFF2-40B4-BE49-F238E27FC236}">
              <a16:creationId xmlns:a16="http://schemas.microsoft.com/office/drawing/2014/main" id="{3B180676-0A23-4749-839E-844C3B623DC8}"/>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4" name="TextBox 133">
          <a:extLst>
            <a:ext uri="{FF2B5EF4-FFF2-40B4-BE49-F238E27FC236}">
              <a16:creationId xmlns:a16="http://schemas.microsoft.com/office/drawing/2014/main" id="{74B6B241-0FFF-478C-9B78-9A816D72AAD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5" name="TextBox 134">
          <a:extLst>
            <a:ext uri="{FF2B5EF4-FFF2-40B4-BE49-F238E27FC236}">
              <a16:creationId xmlns:a16="http://schemas.microsoft.com/office/drawing/2014/main" id="{8C60E08A-79AB-4464-A400-67F87D6A726A}"/>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6" name="TextBox 135">
          <a:extLst>
            <a:ext uri="{FF2B5EF4-FFF2-40B4-BE49-F238E27FC236}">
              <a16:creationId xmlns:a16="http://schemas.microsoft.com/office/drawing/2014/main" id="{FBE8CFDF-1080-44D3-B1BA-9850ADF67441}"/>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7" name="TextBox 136">
          <a:extLst>
            <a:ext uri="{FF2B5EF4-FFF2-40B4-BE49-F238E27FC236}">
              <a16:creationId xmlns:a16="http://schemas.microsoft.com/office/drawing/2014/main" id="{DEB6ABF9-FB5B-43CC-A623-754B749B2D72}"/>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8" name="TextBox 137">
          <a:extLst>
            <a:ext uri="{FF2B5EF4-FFF2-40B4-BE49-F238E27FC236}">
              <a16:creationId xmlns:a16="http://schemas.microsoft.com/office/drawing/2014/main" id="{376F6DAA-5716-49D9-8437-933779154E0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39" name="TextBox 138">
          <a:extLst>
            <a:ext uri="{FF2B5EF4-FFF2-40B4-BE49-F238E27FC236}">
              <a16:creationId xmlns:a16="http://schemas.microsoft.com/office/drawing/2014/main" id="{7D0C96E9-E33C-420B-92DC-90A95669E77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0" name="TextBox 139">
          <a:extLst>
            <a:ext uri="{FF2B5EF4-FFF2-40B4-BE49-F238E27FC236}">
              <a16:creationId xmlns:a16="http://schemas.microsoft.com/office/drawing/2014/main" id="{1FD6D778-EC94-436F-816A-76262785B222}"/>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1" name="TextBox 140">
          <a:extLst>
            <a:ext uri="{FF2B5EF4-FFF2-40B4-BE49-F238E27FC236}">
              <a16:creationId xmlns:a16="http://schemas.microsoft.com/office/drawing/2014/main" id="{C704EEED-30EE-47CC-84DC-80483C5C1AF0}"/>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2" name="TextBox 141">
          <a:extLst>
            <a:ext uri="{FF2B5EF4-FFF2-40B4-BE49-F238E27FC236}">
              <a16:creationId xmlns:a16="http://schemas.microsoft.com/office/drawing/2014/main" id="{C1ECA075-0B5C-401D-812D-ED4F9B6CE00A}"/>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3" name="TextBox 142">
          <a:extLst>
            <a:ext uri="{FF2B5EF4-FFF2-40B4-BE49-F238E27FC236}">
              <a16:creationId xmlns:a16="http://schemas.microsoft.com/office/drawing/2014/main" id="{AB5EDF71-D533-47F1-8409-FDBBE6DB5D90}"/>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4" name="TextBox 143">
          <a:extLst>
            <a:ext uri="{FF2B5EF4-FFF2-40B4-BE49-F238E27FC236}">
              <a16:creationId xmlns:a16="http://schemas.microsoft.com/office/drawing/2014/main" id="{58119C46-9A1B-420E-BBEE-13DCFA5CE353}"/>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29</xdr:row>
      <xdr:rowOff>206375</xdr:rowOff>
    </xdr:to>
    <xdr:sp macro="" textlink="">
      <xdr:nvSpPr>
        <xdr:cNvPr id="145" name="TextBox 144">
          <a:extLst>
            <a:ext uri="{FF2B5EF4-FFF2-40B4-BE49-F238E27FC236}">
              <a16:creationId xmlns:a16="http://schemas.microsoft.com/office/drawing/2014/main" id="{06AED571-1293-482F-AADC-EC81BEFA5575}"/>
            </a:ext>
          </a:extLst>
        </xdr:cNvPr>
        <xdr:cNvSpPr txBox="1">
          <a:spLocks noChangeArrowheads="1"/>
        </xdr:cNvSpPr>
      </xdr:nvSpPr>
      <xdr:spPr bwMode="auto">
        <a:xfrm>
          <a:off x="0" y="2004060"/>
          <a:ext cx="180975" cy="3688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342900</xdr:colOff>
      <xdr:row>2</xdr:row>
      <xdr:rowOff>0</xdr:rowOff>
    </xdr:from>
    <xdr:to>
      <xdr:col>1</xdr:col>
      <xdr:colOff>1356360</xdr:colOff>
      <xdr:row>2</xdr:row>
      <xdr:rowOff>0</xdr:rowOff>
    </xdr:to>
    <xdr:cxnSp macro="">
      <xdr:nvCxnSpPr>
        <xdr:cNvPr id="146" name="Straight Connector 145">
          <a:extLst>
            <a:ext uri="{FF2B5EF4-FFF2-40B4-BE49-F238E27FC236}">
              <a16:creationId xmlns:a16="http://schemas.microsoft.com/office/drawing/2014/main" id="{E9F54944-6E9B-43CA-8A3B-DDD4E7EE9E0B}"/>
            </a:ext>
          </a:extLst>
        </xdr:cNvPr>
        <xdr:cNvCxnSpPr/>
      </xdr:nvCxnSpPr>
      <xdr:spPr>
        <a:xfrm>
          <a:off x="754380" y="39624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18</xdr:row>
      <xdr:rowOff>122555</xdr:rowOff>
    </xdr:to>
    <xdr:sp macro="" textlink="">
      <xdr:nvSpPr>
        <xdr:cNvPr id="2" name="TextBox 1">
          <a:extLst>
            <a:ext uri="{FF2B5EF4-FFF2-40B4-BE49-F238E27FC236}">
              <a16:creationId xmlns:a16="http://schemas.microsoft.com/office/drawing/2014/main" id="{00000000-0008-0000-06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 name="TextBox 2">
          <a:extLst>
            <a:ext uri="{FF2B5EF4-FFF2-40B4-BE49-F238E27FC236}">
              <a16:creationId xmlns:a16="http://schemas.microsoft.com/office/drawing/2014/main" id="{00000000-0008-0000-06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 name="TextBox 3">
          <a:extLst>
            <a:ext uri="{FF2B5EF4-FFF2-40B4-BE49-F238E27FC236}">
              <a16:creationId xmlns:a16="http://schemas.microsoft.com/office/drawing/2014/main" id="{00000000-0008-0000-06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 name="TextBox 4">
          <a:extLst>
            <a:ext uri="{FF2B5EF4-FFF2-40B4-BE49-F238E27FC236}">
              <a16:creationId xmlns:a16="http://schemas.microsoft.com/office/drawing/2014/main" id="{00000000-0008-0000-06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 name="TextBox 5">
          <a:extLst>
            <a:ext uri="{FF2B5EF4-FFF2-40B4-BE49-F238E27FC236}">
              <a16:creationId xmlns:a16="http://schemas.microsoft.com/office/drawing/2014/main" id="{00000000-0008-0000-06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7" name="TextBox 6">
          <a:extLst>
            <a:ext uri="{FF2B5EF4-FFF2-40B4-BE49-F238E27FC236}">
              <a16:creationId xmlns:a16="http://schemas.microsoft.com/office/drawing/2014/main" id="{00000000-0008-0000-06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8" name="TextBox 7">
          <a:extLst>
            <a:ext uri="{FF2B5EF4-FFF2-40B4-BE49-F238E27FC236}">
              <a16:creationId xmlns:a16="http://schemas.microsoft.com/office/drawing/2014/main" id="{00000000-0008-0000-06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9" name="TextBox 8">
          <a:extLst>
            <a:ext uri="{FF2B5EF4-FFF2-40B4-BE49-F238E27FC236}">
              <a16:creationId xmlns:a16="http://schemas.microsoft.com/office/drawing/2014/main" id="{00000000-0008-0000-06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0" name="TextBox 9">
          <a:extLst>
            <a:ext uri="{FF2B5EF4-FFF2-40B4-BE49-F238E27FC236}">
              <a16:creationId xmlns:a16="http://schemas.microsoft.com/office/drawing/2014/main" id="{00000000-0008-0000-06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1" name="TextBox 10">
          <a:extLst>
            <a:ext uri="{FF2B5EF4-FFF2-40B4-BE49-F238E27FC236}">
              <a16:creationId xmlns:a16="http://schemas.microsoft.com/office/drawing/2014/main" id="{00000000-0008-0000-06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2" name="TextBox 11">
          <a:extLst>
            <a:ext uri="{FF2B5EF4-FFF2-40B4-BE49-F238E27FC236}">
              <a16:creationId xmlns:a16="http://schemas.microsoft.com/office/drawing/2014/main" id="{00000000-0008-0000-06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3" name="TextBox 12">
          <a:extLst>
            <a:ext uri="{FF2B5EF4-FFF2-40B4-BE49-F238E27FC236}">
              <a16:creationId xmlns:a16="http://schemas.microsoft.com/office/drawing/2014/main" id="{00000000-0008-0000-06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4" name="TextBox 13">
          <a:extLst>
            <a:ext uri="{FF2B5EF4-FFF2-40B4-BE49-F238E27FC236}">
              <a16:creationId xmlns:a16="http://schemas.microsoft.com/office/drawing/2014/main" id="{00000000-0008-0000-06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5" name="TextBox 14">
          <a:extLst>
            <a:ext uri="{FF2B5EF4-FFF2-40B4-BE49-F238E27FC236}">
              <a16:creationId xmlns:a16="http://schemas.microsoft.com/office/drawing/2014/main" id="{00000000-0008-0000-06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6" name="TextBox 15">
          <a:extLst>
            <a:ext uri="{FF2B5EF4-FFF2-40B4-BE49-F238E27FC236}">
              <a16:creationId xmlns:a16="http://schemas.microsoft.com/office/drawing/2014/main" id="{00000000-0008-0000-06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7" name="TextBox 16">
          <a:extLst>
            <a:ext uri="{FF2B5EF4-FFF2-40B4-BE49-F238E27FC236}">
              <a16:creationId xmlns:a16="http://schemas.microsoft.com/office/drawing/2014/main" id="{00000000-0008-0000-06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8" name="TextBox 17">
          <a:extLst>
            <a:ext uri="{FF2B5EF4-FFF2-40B4-BE49-F238E27FC236}">
              <a16:creationId xmlns:a16="http://schemas.microsoft.com/office/drawing/2014/main" id="{00000000-0008-0000-06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19" name="TextBox 18">
          <a:extLst>
            <a:ext uri="{FF2B5EF4-FFF2-40B4-BE49-F238E27FC236}">
              <a16:creationId xmlns:a16="http://schemas.microsoft.com/office/drawing/2014/main" id="{00000000-0008-0000-06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0" name="TextBox 19">
          <a:extLst>
            <a:ext uri="{FF2B5EF4-FFF2-40B4-BE49-F238E27FC236}">
              <a16:creationId xmlns:a16="http://schemas.microsoft.com/office/drawing/2014/main" id="{00000000-0008-0000-06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1" name="TextBox 20">
          <a:extLst>
            <a:ext uri="{FF2B5EF4-FFF2-40B4-BE49-F238E27FC236}">
              <a16:creationId xmlns:a16="http://schemas.microsoft.com/office/drawing/2014/main" id="{00000000-0008-0000-06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2" name="TextBox 21">
          <a:extLst>
            <a:ext uri="{FF2B5EF4-FFF2-40B4-BE49-F238E27FC236}">
              <a16:creationId xmlns:a16="http://schemas.microsoft.com/office/drawing/2014/main" id="{00000000-0008-0000-06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3" name="TextBox 22">
          <a:extLst>
            <a:ext uri="{FF2B5EF4-FFF2-40B4-BE49-F238E27FC236}">
              <a16:creationId xmlns:a16="http://schemas.microsoft.com/office/drawing/2014/main" id="{00000000-0008-0000-06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4" name="TextBox 23">
          <a:extLst>
            <a:ext uri="{FF2B5EF4-FFF2-40B4-BE49-F238E27FC236}">
              <a16:creationId xmlns:a16="http://schemas.microsoft.com/office/drawing/2014/main" id="{00000000-0008-0000-06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5" name="TextBox 24">
          <a:extLst>
            <a:ext uri="{FF2B5EF4-FFF2-40B4-BE49-F238E27FC236}">
              <a16:creationId xmlns:a16="http://schemas.microsoft.com/office/drawing/2014/main" id="{00000000-0008-0000-06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6" name="TextBox 25">
          <a:extLst>
            <a:ext uri="{FF2B5EF4-FFF2-40B4-BE49-F238E27FC236}">
              <a16:creationId xmlns:a16="http://schemas.microsoft.com/office/drawing/2014/main" id="{00000000-0008-0000-06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7" name="TextBox 26">
          <a:extLst>
            <a:ext uri="{FF2B5EF4-FFF2-40B4-BE49-F238E27FC236}">
              <a16:creationId xmlns:a16="http://schemas.microsoft.com/office/drawing/2014/main" id="{00000000-0008-0000-06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8" name="TextBox 27">
          <a:extLst>
            <a:ext uri="{FF2B5EF4-FFF2-40B4-BE49-F238E27FC236}">
              <a16:creationId xmlns:a16="http://schemas.microsoft.com/office/drawing/2014/main" id="{00000000-0008-0000-06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29" name="TextBox 28">
          <a:extLst>
            <a:ext uri="{FF2B5EF4-FFF2-40B4-BE49-F238E27FC236}">
              <a16:creationId xmlns:a16="http://schemas.microsoft.com/office/drawing/2014/main" id="{00000000-0008-0000-06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0" name="TextBox 29">
          <a:extLst>
            <a:ext uri="{FF2B5EF4-FFF2-40B4-BE49-F238E27FC236}">
              <a16:creationId xmlns:a16="http://schemas.microsoft.com/office/drawing/2014/main" id="{00000000-0008-0000-06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1" name="TextBox 30">
          <a:extLst>
            <a:ext uri="{FF2B5EF4-FFF2-40B4-BE49-F238E27FC236}">
              <a16:creationId xmlns:a16="http://schemas.microsoft.com/office/drawing/2014/main" id="{00000000-0008-0000-06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2" name="TextBox 31">
          <a:extLst>
            <a:ext uri="{FF2B5EF4-FFF2-40B4-BE49-F238E27FC236}">
              <a16:creationId xmlns:a16="http://schemas.microsoft.com/office/drawing/2014/main" id="{00000000-0008-0000-06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3" name="TextBox 32">
          <a:extLst>
            <a:ext uri="{FF2B5EF4-FFF2-40B4-BE49-F238E27FC236}">
              <a16:creationId xmlns:a16="http://schemas.microsoft.com/office/drawing/2014/main" id="{00000000-0008-0000-06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4" name="TextBox 33">
          <a:extLst>
            <a:ext uri="{FF2B5EF4-FFF2-40B4-BE49-F238E27FC236}">
              <a16:creationId xmlns:a16="http://schemas.microsoft.com/office/drawing/2014/main" id="{00000000-0008-0000-06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5" name="TextBox 34">
          <a:extLst>
            <a:ext uri="{FF2B5EF4-FFF2-40B4-BE49-F238E27FC236}">
              <a16:creationId xmlns:a16="http://schemas.microsoft.com/office/drawing/2014/main" id="{00000000-0008-0000-06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6" name="TextBox 35">
          <a:extLst>
            <a:ext uri="{FF2B5EF4-FFF2-40B4-BE49-F238E27FC236}">
              <a16:creationId xmlns:a16="http://schemas.microsoft.com/office/drawing/2014/main" id="{00000000-0008-0000-06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7" name="TextBox 36">
          <a:extLst>
            <a:ext uri="{FF2B5EF4-FFF2-40B4-BE49-F238E27FC236}">
              <a16:creationId xmlns:a16="http://schemas.microsoft.com/office/drawing/2014/main" id="{00000000-0008-0000-06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8" name="TextBox 37">
          <a:extLst>
            <a:ext uri="{FF2B5EF4-FFF2-40B4-BE49-F238E27FC236}">
              <a16:creationId xmlns:a16="http://schemas.microsoft.com/office/drawing/2014/main" id="{00000000-0008-0000-0600-000026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39" name="TextBox 38">
          <a:extLst>
            <a:ext uri="{FF2B5EF4-FFF2-40B4-BE49-F238E27FC236}">
              <a16:creationId xmlns:a16="http://schemas.microsoft.com/office/drawing/2014/main" id="{00000000-0008-0000-0600-000027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0" name="TextBox 39">
          <a:extLst>
            <a:ext uri="{FF2B5EF4-FFF2-40B4-BE49-F238E27FC236}">
              <a16:creationId xmlns:a16="http://schemas.microsoft.com/office/drawing/2014/main" id="{00000000-0008-0000-0600-000028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1" name="TextBox 40">
          <a:extLst>
            <a:ext uri="{FF2B5EF4-FFF2-40B4-BE49-F238E27FC236}">
              <a16:creationId xmlns:a16="http://schemas.microsoft.com/office/drawing/2014/main" id="{00000000-0008-0000-0600-000029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2" name="TextBox 41">
          <a:extLst>
            <a:ext uri="{FF2B5EF4-FFF2-40B4-BE49-F238E27FC236}">
              <a16:creationId xmlns:a16="http://schemas.microsoft.com/office/drawing/2014/main" id="{00000000-0008-0000-0600-00002A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3" name="TextBox 42">
          <a:extLst>
            <a:ext uri="{FF2B5EF4-FFF2-40B4-BE49-F238E27FC236}">
              <a16:creationId xmlns:a16="http://schemas.microsoft.com/office/drawing/2014/main" id="{00000000-0008-0000-0600-00002B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4" name="TextBox 43">
          <a:extLst>
            <a:ext uri="{FF2B5EF4-FFF2-40B4-BE49-F238E27FC236}">
              <a16:creationId xmlns:a16="http://schemas.microsoft.com/office/drawing/2014/main" id="{00000000-0008-0000-0600-00002C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5" name="TextBox 44">
          <a:extLst>
            <a:ext uri="{FF2B5EF4-FFF2-40B4-BE49-F238E27FC236}">
              <a16:creationId xmlns:a16="http://schemas.microsoft.com/office/drawing/2014/main" id="{00000000-0008-0000-0600-00002D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6" name="TextBox 45">
          <a:extLst>
            <a:ext uri="{FF2B5EF4-FFF2-40B4-BE49-F238E27FC236}">
              <a16:creationId xmlns:a16="http://schemas.microsoft.com/office/drawing/2014/main" id="{00000000-0008-0000-0600-00002E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7" name="TextBox 46">
          <a:extLst>
            <a:ext uri="{FF2B5EF4-FFF2-40B4-BE49-F238E27FC236}">
              <a16:creationId xmlns:a16="http://schemas.microsoft.com/office/drawing/2014/main" id="{00000000-0008-0000-0600-00002F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8" name="TextBox 47">
          <a:extLst>
            <a:ext uri="{FF2B5EF4-FFF2-40B4-BE49-F238E27FC236}">
              <a16:creationId xmlns:a16="http://schemas.microsoft.com/office/drawing/2014/main" id="{00000000-0008-0000-0600-000030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49" name="TextBox 48">
          <a:extLst>
            <a:ext uri="{FF2B5EF4-FFF2-40B4-BE49-F238E27FC236}">
              <a16:creationId xmlns:a16="http://schemas.microsoft.com/office/drawing/2014/main" id="{00000000-0008-0000-0600-000031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0" name="TextBox 49">
          <a:extLst>
            <a:ext uri="{FF2B5EF4-FFF2-40B4-BE49-F238E27FC236}">
              <a16:creationId xmlns:a16="http://schemas.microsoft.com/office/drawing/2014/main" id="{00000000-0008-0000-0600-000032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1" name="TextBox 50">
          <a:extLst>
            <a:ext uri="{FF2B5EF4-FFF2-40B4-BE49-F238E27FC236}">
              <a16:creationId xmlns:a16="http://schemas.microsoft.com/office/drawing/2014/main" id="{00000000-0008-0000-0600-000033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2" name="TextBox 51">
          <a:extLst>
            <a:ext uri="{FF2B5EF4-FFF2-40B4-BE49-F238E27FC236}">
              <a16:creationId xmlns:a16="http://schemas.microsoft.com/office/drawing/2014/main" id="{00000000-0008-0000-0600-000034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3" name="TextBox 52">
          <a:extLst>
            <a:ext uri="{FF2B5EF4-FFF2-40B4-BE49-F238E27FC236}">
              <a16:creationId xmlns:a16="http://schemas.microsoft.com/office/drawing/2014/main" id="{00000000-0008-0000-0600-000035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4" name="TextBox 53">
          <a:extLst>
            <a:ext uri="{FF2B5EF4-FFF2-40B4-BE49-F238E27FC236}">
              <a16:creationId xmlns:a16="http://schemas.microsoft.com/office/drawing/2014/main" id="{00000000-0008-0000-0600-000036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5" name="TextBox 54">
          <a:extLst>
            <a:ext uri="{FF2B5EF4-FFF2-40B4-BE49-F238E27FC236}">
              <a16:creationId xmlns:a16="http://schemas.microsoft.com/office/drawing/2014/main" id="{00000000-0008-0000-0600-000037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6" name="TextBox 55">
          <a:extLst>
            <a:ext uri="{FF2B5EF4-FFF2-40B4-BE49-F238E27FC236}">
              <a16:creationId xmlns:a16="http://schemas.microsoft.com/office/drawing/2014/main" id="{00000000-0008-0000-0600-000038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7" name="TextBox 56">
          <a:extLst>
            <a:ext uri="{FF2B5EF4-FFF2-40B4-BE49-F238E27FC236}">
              <a16:creationId xmlns:a16="http://schemas.microsoft.com/office/drawing/2014/main" id="{00000000-0008-0000-0600-000039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8" name="TextBox 57">
          <a:extLst>
            <a:ext uri="{FF2B5EF4-FFF2-40B4-BE49-F238E27FC236}">
              <a16:creationId xmlns:a16="http://schemas.microsoft.com/office/drawing/2014/main" id="{00000000-0008-0000-0600-00003A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59" name="TextBox 58">
          <a:extLst>
            <a:ext uri="{FF2B5EF4-FFF2-40B4-BE49-F238E27FC236}">
              <a16:creationId xmlns:a16="http://schemas.microsoft.com/office/drawing/2014/main" id="{00000000-0008-0000-0600-00003B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0" name="TextBox 59">
          <a:extLst>
            <a:ext uri="{FF2B5EF4-FFF2-40B4-BE49-F238E27FC236}">
              <a16:creationId xmlns:a16="http://schemas.microsoft.com/office/drawing/2014/main" id="{00000000-0008-0000-0600-00003C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1" name="TextBox 60">
          <a:extLst>
            <a:ext uri="{FF2B5EF4-FFF2-40B4-BE49-F238E27FC236}">
              <a16:creationId xmlns:a16="http://schemas.microsoft.com/office/drawing/2014/main" id="{00000000-0008-0000-0600-00003D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2" name="TextBox 61">
          <a:extLst>
            <a:ext uri="{FF2B5EF4-FFF2-40B4-BE49-F238E27FC236}">
              <a16:creationId xmlns:a16="http://schemas.microsoft.com/office/drawing/2014/main" id="{00000000-0008-0000-0600-00003E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3" name="TextBox 62">
          <a:extLst>
            <a:ext uri="{FF2B5EF4-FFF2-40B4-BE49-F238E27FC236}">
              <a16:creationId xmlns:a16="http://schemas.microsoft.com/office/drawing/2014/main" id="{00000000-0008-0000-0600-00003F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4" name="TextBox 63">
          <a:extLst>
            <a:ext uri="{FF2B5EF4-FFF2-40B4-BE49-F238E27FC236}">
              <a16:creationId xmlns:a16="http://schemas.microsoft.com/office/drawing/2014/main" id="{00000000-0008-0000-0600-000040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5" name="TextBox 64">
          <a:extLst>
            <a:ext uri="{FF2B5EF4-FFF2-40B4-BE49-F238E27FC236}">
              <a16:creationId xmlns:a16="http://schemas.microsoft.com/office/drawing/2014/main" id="{00000000-0008-0000-0600-000041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6" name="TextBox 65">
          <a:extLst>
            <a:ext uri="{FF2B5EF4-FFF2-40B4-BE49-F238E27FC236}">
              <a16:creationId xmlns:a16="http://schemas.microsoft.com/office/drawing/2014/main" id="{00000000-0008-0000-0600-000042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7" name="TextBox 66">
          <a:extLst>
            <a:ext uri="{FF2B5EF4-FFF2-40B4-BE49-F238E27FC236}">
              <a16:creationId xmlns:a16="http://schemas.microsoft.com/office/drawing/2014/main" id="{00000000-0008-0000-0600-000043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8" name="TextBox 67">
          <a:extLst>
            <a:ext uri="{FF2B5EF4-FFF2-40B4-BE49-F238E27FC236}">
              <a16:creationId xmlns:a16="http://schemas.microsoft.com/office/drawing/2014/main" id="{00000000-0008-0000-0600-000044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69" name="TextBox 68">
          <a:extLst>
            <a:ext uri="{FF2B5EF4-FFF2-40B4-BE49-F238E27FC236}">
              <a16:creationId xmlns:a16="http://schemas.microsoft.com/office/drawing/2014/main" id="{00000000-0008-0000-0600-000045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70" name="TextBox 69">
          <a:extLst>
            <a:ext uri="{FF2B5EF4-FFF2-40B4-BE49-F238E27FC236}">
              <a16:creationId xmlns:a16="http://schemas.microsoft.com/office/drawing/2014/main" id="{00000000-0008-0000-0600-000046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71" name="TextBox 70">
          <a:extLst>
            <a:ext uri="{FF2B5EF4-FFF2-40B4-BE49-F238E27FC236}">
              <a16:creationId xmlns:a16="http://schemas.microsoft.com/office/drawing/2014/main" id="{00000000-0008-0000-0600-000047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72" name="TextBox 71">
          <a:extLst>
            <a:ext uri="{FF2B5EF4-FFF2-40B4-BE49-F238E27FC236}">
              <a16:creationId xmlns:a16="http://schemas.microsoft.com/office/drawing/2014/main" id="{00000000-0008-0000-0600-000048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18</xdr:row>
      <xdr:rowOff>122555</xdr:rowOff>
    </xdr:to>
    <xdr:sp macro="" textlink="">
      <xdr:nvSpPr>
        <xdr:cNvPr id="73" name="TextBox 72">
          <a:extLst>
            <a:ext uri="{FF2B5EF4-FFF2-40B4-BE49-F238E27FC236}">
              <a16:creationId xmlns:a16="http://schemas.microsoft.com/office/drawing/2014/main" id="{00000000-0008-0000-0600-000049000000}"/>
            </a:ext>
          </a:extLst>
        </xdr:cNvPr>
        <xdr:cNvSpPr txBox="1">
          <a:spLocks noChangeArrowheads="1"/>
        </xdr:cNvSpPr>
      </xdr:nvSpPr>
      <xdr:spPr bwMode="auto">
        <a:xfrm>
          <a:off x="0" y="2453640"/>
          <a:ext cx="180975" cy="329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9</xdr:row>
      <xdr:rowOff>0</xdr:rowOff>
    </xdr:from>
    <xdr:ext cx="180975" cy="3094355"/>
    <xdr:sp macro="" textlink="">
      <xdr:nvSpPr>
        <xdr:cNvPr id="74" name="TextBox 73">
          <a:extLst>
            <a:ext uri="{FF2B5EF4-FFF2-40B4-BE49-F238E27FC236}">
              <a16:creationId xmlns:a16="http://schemas.microsoft.com/office/drawing/2014/main" id="{A7C7C50F-BAFC-4739-A682-2D6E034556A7}"/>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5" name="TextBox 74">
          <a:extLst>
            <a:ext uri="{FF2B5EF4-FFF2-40B4-BE49-F238E27FC236}">
              <a16:creationId xmlns:a16="http://schemas.microsoft.com/office/drawing/2014/main" id="{7DA2A874-0898-4BEF-AC07-0C844BB39C1E}"/>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6" name="TextBox 75">
          <a:extLst>
            <a:ext uri="{FF2B5EF4-FFF2-40B4-BE49-F238E27FC236}">
              <a16:creationId xmlns:a16="http://schemas.microsoft.com/office/drawing/2014/main" id="{F6832ACD-CF10-43FB-B9B6-DB48E034F449}"/>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7" name="TextBox 76">
          <a:extLst>
            <a:ext uri="{FF2B5EF4-FFF2-40B4-BE49-F238E27FC236}">
              <a16:creationId xmlns:a16="http://schemas.microsoft.com/office/drawing/2014/main" id="{F7666FDD-382A-460F-BD97-AA4F8DF930E8}"/>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8" name="TextBox 77">
          <a:extLst>
            <a:ext uri="{FF2B5EF4-FFF2-40B4-BE49-F238E27FC236}">
              <a16:creationId xmlns:a16="http://schemas.microsoft.com/office/drawing/2014/main" id="{3ADD8175-B23A-430C-9776-5A8C5AA6B679}"/>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9" name="TextBox 78">
          <a:extLst>
            <a:ext uri="{FF2B5EF4-FFF2-40B4-BE49-F238E27FC236}">
              <a16:creationId xmlns:a16="http://schemas.microsoft.com/office/drawing/2014/main" id="{E81F4D36-0655-4679-BD90-46ED51FC70D5}"/>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0" name="TextBox 79">
          <a:extLst>
            <a:ext uri="{FF2B5EF4-FFF2-40B4-BE49-F238E27FC236}">
              <a16:creationId xmlns:a16="http://schemas.microsoft.com/office/drawing/2014/main" id="{7C1EC55F-9503-4E69-9106-75DA09311D1B}"/>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1" name="TextBox 80">
          <a:extLst>
            <a:ext uri="{FF2B5EF4-FFF2-40B4-BE49-F238E27FC236}">
              <a16:creationId xmlns:a16="http://schemas.microsoft.com/office/drawing/2014/main" id="{F5FDE8A6-E09A-4321-97AB-6887CC320792}"/>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2" name="TextBox 81">
          <a:extLst>
            <a:ext uri="{FF2B5EF4-FFF2-40B4-BE49-F238E27FC236}">
              <a16:creationId xmlns:a16="http://schemas.microsoft.com/office/drawing/2014/main" id="{CB706F31-7402-4B5E-BBBB-E432664BF2F5}"/>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3" name="TextBox 82">
          <a:extLst>
            <a:ext uri="{FF2B5EF4-FFF2-40B4-BE49-F238E27FC236}">
              <a16:creationId xmlns:a16="http://schemas.microsoft.com/office/drawing/2014/main" id="{C9517676-196E-4EA3-A038-375E25297153}"/>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4" name="TextBox 83">
          <a:extLst>
            <a:ext uri="{FF2B5EF4-FFF2-40B4-BE49-F238E27FC236}">
              <a16:creationId xmlns:a16="http://schemas.microsoft.com/office/drawing/2014/main" id="{302B0C13-A6F4-4D2C-A9D1-A2DE5D2EC26A}"/>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5" name="TextBox 84">
          <a:extLst>
            <a:ext uri="{FF2B5EF4-FFF2-40B4-BE49-F238E27FC236}">
              <a16:creationId xmlns:a16="http://schemas.microsoft.com/office/drawing/2014/main" id="{C7B80EA7-09CB-49C8-A246-C08E2075C72B}"/>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6" name="TextBox 85">
          <a:extLst>
            <a:ext uri="{FF2B5EF4-FFF2-40B4-BE49-F238E27FC236}">
              <a16:creationId xmlns:a16="http://schemas.microsoft.com/office/drawing/2014/main" id="{7146B315-9EA6-45B6-BB00-1B4F01320E99}"/>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7" name="TextBox 86">
          <a:extLst>
            <a:ext uri="{FF2B5EF4-FFF2-40B4-BE49-F238E27FC236}">
              <a16:creationId xmlns:a16="http://schemas.microsoft.com/office/drawing/2014/main" id="{FCDB4D62-17CE-45CB-A1B0-10416B64B5CF}"/>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8" name="TextBox 87">
          <a:extLst>
            <a:ext uri="{FF2B5EF4-FFF2-40B4-BE49-F238E27FC236}">
              <a16:creationId xmlns:a16="http://schemas.microsoft.com/office/drawing/2014/main" id="{D8D30AA6-67B7-48C7-ADBB-EDB3D26103C6}"/>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89" name="TextBox 88">
          <a:extLst>
            <a:ext uri="{FF2B5EF4-FFF2-40B4-BE49-F238E27FC236}">
              <a16:creationId xmlns:a16="http://schemas.microsoft.com/office/drawing/2014/main" id="{E3A0FA4A-CB42-4D10-8849-3E2D44038395}"/>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0" name="TextBox 89">
          <a:extLst>
            <a:ext uri="{FF2B5EF4-FFF2-40B4-BE49-F238E27FC236}">
              <a16:creationId xmlns:a16="http://schemas.microsoft.com/office/drawing/2014/main" id="{611BEA3F-5D67-4EC4-916D-B710C9A61032}"/>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1" name="TextBox 90">
          <a:extLst>
            <a:ext uri="{FF2B5EF4-FFF2-40B4-BE49-F238E27FC236}">
              <a16:creationId xmlns:a16="http://schemas.microsoft.com/office/drawing/2014/main" id="{565C58C2-6DF1-4B69-9C48-E1871004FA63}"/>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2" name="TextBox 91">
          <a:extLst>
            <a:ext uri="{FF2B5EF4-FFF2-40B4-BE49-F238E27FC236}">
              <a16:creationId xmlns:a16="http://schemas.microsoft.com/office/drawing/2014/main" id="{649C7C74-4247-419B-A66B-766A3AF1ACE4}"/>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3" name="TextBox 92">
          <a:extLst>
            <a:ext uri="{FF2B5EF4-FFF2-40B4-BE49-F238E27FC236}">
              <a16:creationId xmlns:a16="http://schemas.microsoft.com/office/drawing/2014/main" id="{0FFBBEDD-F508-4FBC-89E7-DD7118E0EBDA}"/>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4" name="TextBox 93">
          <a:extLst>
            <a:ext uri="{FF2B5EF4-FFF2-40B4-BE49-F238E27FC236}">
              <a16:creationId xmlns:a16="http://schemas.microsoft.com/office/drawing/2014/main" id="{A1A4D673-54AD-4FA5-8374-A99D723487CA}"/>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5" name="TextBox 94">
          <a:extLst>
            <a:ext uri="{FF2B5EF4-FFF2-40B4-BE49-F238E27FC236}">
              <a16:creationId xmlns:a16="http://schemas.microsoft.com/office/drawing/2014/main" id="{3187FEAE-489F-45B6-BBC6-1D468BE43337}"/>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6" name="TextBox 95">
          <a:extLst>
            <a:ext uri="{FF2B5EF4-FFF2-40B4-BE49-F238E27FC236}">
              <a16:creationId xmlns:a16="http://schemas.microsoft.com/office/drawing/2014/main" id="{A1CA5561-E429-4963-A246-EDF7BEE2925E}"/>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7" name="TextBox 96">
          <a:extLst>
            <a:ext uri="{FF2B5EF4-FFF2-40B4-BE49-F238E27FC236}">
              <a16:creationId xmlns:a16="http://schemas.microsoft.com/office/drawing/2014/main" id="{47E28D43-C9D9-4ADB-8567-F9DF8C2E947C}"/>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8" name="TextBox 97">
          <a:extLst>
            <a:ext uri="{FF2B5EF4-FFF2-40B4-BE49-F238E27FC236}">
              <a16:creationId xmlns:a16="http://schemas.microsoft.com/office/drawing/2014/main" id="{380CF19A-050C-433A-B8CC-DC8125FA656A}"/>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99" name="TextBox 98">
          <a:extLst>
            <a:ext uri="{FF2B5EF4-FFF2-40B4-BE49-F238E27FC236}">
              <a16:creationId xmlns:a16="http://schemas.microsoft.com/office/drawing/2014/main" id="{989CB301-7D04-46CE-8F6A-4E4901FEF6BA}"/>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0" name="TextBox 99">
          <a:extLst>
            <a:ext uri="{FF2B5EF4-FFF2-40B4-BE49-F238E27FC236}">
              <a16:creationId xmlns:a16="http://schemas.microsoft.com/office/drawing/2014/main" id="{260DEF17-32BA-4798-A623-B8A1832BEE8D}"/>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1" name="TextBox 100">
          <a:extLst>
            <a:ext uri="{FF2B5EF4-FFF2-40B4-BE49-F238E27FC236}">
              <a16:creationId xmlns:a16="http://schemas.microsoft.com/office/drawing/2014/main" id="{4D934B03-A9AA-4F58-B0B9-8FD719B218A7}"/>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2" name="TextBox 101">
          <a:extLst>
            <a:ext uri="{FF2B5EF4-FFF2-40B4-BE49-F238E27FC236}">
              <a16:creationId xmlns:a16="http://schemas.microsoft.com/office/drawing/2014/main" id="{293BD888-E13A-47BC-9783-B238848E5961}"/>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3" name="TextBox 102">
          <a:extLst>
            <a:ext uri="{FF2B5EF4-FFF2-40B4-BE49-F238E27FC236}">
              <a16:creationId xmlns:a16="http://schemas.microsoft.com/office/drawing/2014/main" id="{4E479596-31D7-4A08-A269-366C9DE097FB}"/>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4" name="TextBox 103">
          <a:extLst>
            <a:ext uri="{FF2B5EF4-FFF2-40B4-BE49-F238E27FC236}">
              <a16:creationId xmlns:a16="http://schemas.microsoft.com/office/drawing/2014/main" id="{FDB46D31-A9A0-44F1-93AA-25BF8EBA20CB}"/>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5" name="TextBox 104">
          <a:extLst>
            <a:ext uri="{FF2B5EF4-FFF2-40B4-BE49-F238E27FC236}">
              <a16:creationId xmlns:a16="http://schemas.microsoft.com/office/drawing/2014/main" id="{BA112263-80CA-427D-9D7B-380164DB9451}"/>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6" name="TextBox 105">
          <a:extLst>
            <a:ext uri="{FF2B5EF4-FFF2-40B4-BE49-F238E27FC236}">
              <a16:creationId xmlns:a16="http://schemas.microsoft.com/office/drawing/2014/main" id="{DEAF38D8-0BB6-4B21-9EF5-57795D097D1E}"/>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7" name="TextBox 106">
          <a:extLst>
            <a:ext uri="{FF2B5EF4-FFF2-40B4-BE49-F238E27FC236}">
              <a16:creationId xmlns:a16="http://schemas.microsoft.com/office/drawing/2014/main" id="{168D3A26-A629-422F-88D2-39532DBAF7B1}"/>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8" name="TextBox 107">
          <a:extLst>
            <a:ext uri="{FF2B5EF4-FFF2-40B4-BE49-F238E27FC236}">
              <a16:creationId xmlns:a16="http://schemas.microsoft.com/office/drawing/2014/main" id="{4EC0FAB6-C5E2-4ADF-9811-44A7A9C6E27F}"/>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109" name="TextBox 108">
          <a:extLst>
            <a:ext uri="{FF2B5EF4-FFF2-40B4-BE49-F238E27FC236}">
              <a16:creationId xmlns:a16="http://schemas.microsoft.com/office/drawing/2014/main" id="{3B6EE269-E0A3-4025-80D9-6EAE52AA2DE2}"/>
            </a:ext>
          </a:extLst>
        </xdr:cNvPr>
        <xdr:cNvSpPr txBox="1">
          <a:spLocks noChangeArrowheads="1"/>
        </xdr:cNvSpPr>
      </xdr:nvSpPr>
      <xdr:spPr bwMode="auto">
        <a:xfrm>
          <a:off x="0" y="224790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350520</xdr:colOff>
      <xdr:row>2</xdr:row>
      <xdr:rowOff>7620</xdr:rowOff>
    </xdr:from>
    <xdr:to>
      <xdr:col>1</xdr:col>
      <xdr:colOff>1363980</xdr:colOff>
      <xdr:row>2</xdr:row>
      <xdr:rowOff>7620</xdr:rowOff>
    </xdr:to>
    <xdr:cxnSp macro="">
      <xdr:nvCxnSpPr>
        <xdr:cNvPr id="110" name="Straight Connector 109">
          <a:extLst>
            <a:ext uri="{FF2B5EF4-FFF2-40B4-BE49-F238E27FC236}">
              <a16:creationId xmlns:a16="http://schemas.microsoft.com/office/drawing/2014/main" id="{E5C1235C-33E3-456D-BDEB-884BEC374491}"/>
            </a:ext>
          </a:extLst>
        </xdr:cNvPr>
        <xdr:cNvCxnSpPr/>
      </xdr:nvCxnSpPr>
      <xdr:spPr>
        <a:xfrm>
          <a:off x="762000" y="40386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22</xdr:row>
      <xdr:rowOff>170180</xdr:rowOff>
    </xdr:to>
    <xdr:sp macro="" textlink="">
      <xdr:nvSpPr>
        <xdr:cNvPr id="2" name="TextBox 1">
          <a:extLst>
            <a:ext uri="{FF2B5EF4-FFF2-40B4-BE49-F238E27FC236}">
              <a16:creationId xmlns:a16="http://schemas.microsoft.com/office/drawing/2014/main" id="{00000000-0008-0000-07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 name="TextBox 2">
          <a:extLst>
            <a:ext uri="{FF2B5EF4-FFF2-40B4-BE49-F238E27FC236}">
              <a16:creationId xmlns:a16="http://schemas.microsoft.com/office/drawing/2014/main" id="{00000000-0008-0000-07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4" name="TextBox 3">
          <a:extLst>
            <a:ext uri="{FF2B5EF4-FFF2-40B4-BE49-F238E27FC236}">
              <a16:creationId xmlns:a16="http://schemas.microsoft.com/office/drawing/2014/main" id="{00000000-0008-0000-07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5" name="TextBox 4">
          <a:extLst>
            <a:ext uri="{FF2B5EF4-FFF2-40B4-BE49-F238E27FC236}">
              <a16:creationId xmlns:a16="http://schemas.microsoft.com/office/drawing/2014/main" id="{00000000-0008-0000-07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6" name="TextBox 5">
          <a:extLst>
            <a:ext uri="{FF2B5EF4-FFF2-40B4-BE49-F238E27FC236}">
              <a16:creationId xmlns:a16="http://schemas.microsoft.com/office/drawing/2014/main" id="{00000000-0008-0000-07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7" name="TextBox 6">
          <a:extLst>
            <a:ext uri="{FF2B5EF4-FFF2-40B4-BE49-F238E27FC236}">
              <a16:creationId xmlns:a16="http://schemas.microsoft.com/office/drawing/2014/main" id="{00000000-0008-0000-07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8" name="TextBox 7">
          <a:extLst>
            <a:ext uri="{FF2B5EF4-FFF2-40B4-BE49-F238E27FC236}">
              <a16:creationId xmlns:a16="http://schemas.microsoft.com/office/drawing/2014/main" id="{00000000-0008-0000-07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9" name="TextBox 8">
          <a:extLst>
            <a:ext uri="{FF2B5EF4-FFF2-40B4-BE49-F238E27FC236}">
              <a16:creationId xmlns:a16="http://schemas.microsoft.com/office/drawing/2014/main" id="{00000000-0008-0000-07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0" name="TextBox 9">
          <a:extLst>
            <a:ext uri="{FF2B5EF4-FFF2-40B4-BE49-F238E27FC236}">
              <a16:creationId xmlns:a16="http://schemas.microsoft.com/office/drawing/2014/main" id="{00000000-0008-0000-07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1" name="TextBox 10">
          <a:extLst>
            <a:ext uri="{FF2B5EF4-FFF2-40B4-BE49-F238E27FC236}">
              <a16:creationId xmlns:a16="http://schemas.microsoft.com/office/drawing/2014/main" id="{00000000-0008-0000-07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2" name="TextBox 11">
          <a:extLst>
            <a:ext uri="{FF2B5EF4-FFF2-40B4-BE49-F238E27FC236}">
              <a16:creationId xmlns:a16="http://schemas.microsoft.com/office/drawing/2014/main" id="{00000000-0008-0000-07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3" name="TextBox 12">
          <a:extLst>
            <a:ext uri="{FF2B5EF4-FFF2-40B4-BE49-F238E27FC236}">
              <a16:creationId xmlns:a16="http://schemas.microsoft.com/office/drawing/2014/main" id="{00000000-0008-0000-07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4" name="TextBox 13">
          <a:extLst>
            <a:ext uri="{FF2B5EF4-FFF2-40B4-BE49-F238E27FC236}">
              <a16:creationId xmlns:a16="http://schemas.microsoft.com/office/drawing/2014/main" id="{00000000-0008-0000-07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5" name="TextBox 14">
          <a:extLst>
            <a:ext uri="{FF2B5EF4-FFF2-40B4-BE49-F238E27FC236}">
              <a16:creationId xmlns:a16="http://schemas.microsoft.com/office/drawing/2014/main" id="{00000000-0008-0000-07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6" name="TextBox 15">
          <a:extLst>
            <a:ext uri="{FF2B5EF4-FFF2-40B4-BE49-F238E27FC236}">
              <a16:creationId xmlns:a16="http://schemas.microsoft.com/office/drawing/2014/main" id="{00000000-0008-0000-07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7" name="TextBox 16">
          <a:extLst>
            <a:ext uri="{FF2B5EF4-FFF2-40B4-BE49-F238E27FC236}">
              <a16:creationId xmlns:a16="http://schemas.microsoft.com/office/drawing/2014/main" id="{00000000-0008-0000-07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8" name="TextBox 17">
          <a:extLst>
            <a:ext uri="{FF2B5EF4-FFF2-40B4-BE49-F238E27FC236}">
              <a16:creationId xmlns:a16="http://schemas.microsoft.com/office/drawing/2014/main" id="{00000000-0008-0000-07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19" name="TextBox 18">
          <a:extLst>
            <a:ext uri="{FF2B5EF4-FFF2-40B4-BE49-F238E27FC236}">
              <a16:creationId xmlns:a16="http://schemas.microsoft.com/office/drawing/2014/main" id="{00000000-0008-0000-07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0" name="TextBox 19">
          <a:extLst>
            <a:ext uri="{FF2B5EF4-FFF2-40B4-BE49-F238E27FC236}">
              <a16:creationId xmlns:a16="http://schemas.microsoft.com/office/drawing/2014/main" id="{00000000-0008-0000-07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1" name="TextBox 20">
          <a:extLst>
            <a:ext uri="{FF2B5EF4-FFF2-40B4-BE49-F238E27FC236}">
              <a16:creationId xmlns:a16="http://schemas.microsoft.com/office/drawing/2014/main" id="{00000000-0008-0000-07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2" name="TextBox 21">
          <a:extLst>
            <a:ext uri="{FF2B5EF4-FFF2-40B4-BE49-F238E27FC236}">
              <a16:creationId xmlns:a16="http://schemas.microsoft.com/office/drawing/2014/main" id="{00000000-0008-0000-07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3" name="TextBox 22">
          <a:extLst>
            <a:ext uri="{FF2B5EF4-FFF2-40B4-BE49-F238E27FC236}">
              <a16:creationId xmlns:a16="http://schemas.microsoft.com/office/drawing/2014/main" id="{00000000-0008-0000-07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4" name="TextBox 23">
          <a:extLst>
            <a:ext uri="{FF2B5EF4-FFF2-40B4-BE49-F238E27FC236}">
              <a16:creationId xmlns:a16="http://schemas.microsoft.com/office/drawing/2014/main" id="{00000000-0008-0000-07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5" name="TextBox 24">
          <a:extLst>
            <a:ext uri="{FF2B5EF4-FFF2-40B4-BE49-F238E27FC236}">
              <a16:creationId xmlns:a16="http://schemas.microsoft.com/office/drawing/2014/main" id="{00000000-0008-0000-07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6" name="TextBox 25">
          <a:extLst>
            <a:ext uri="{FF2B5EF4-FFF2-40B4-BE49-F238E27FC236}">
              <a16:creationId xmlns:a16="http://schemas.microsoft.com/office/drawing/2014/main" id="{00000000-0008-0000-07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7" name="TextBox 26">
          <a:extLst>
            <a:ext uri="{FF2B5EF4-FFF2-40B4-BE49-F238E27FC236}">
              <a16:creationId xmlns:a16="http://schemas.microsoft.com/office/drawing/2014/main" id="{00000000-0008-0000-07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8" name="TextBox 27">
          <a:extLst>
            <a:ext uri="{FF2B5EF4-FFF2-40B4-BE49-F238E27FC236}">
              <a16:creationId xmlns:a16="http://schemas.microsoft.com/office/drawing/2014/main" id="{00000000-0008-0000-07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29" name="TextBox 28">
          <a:extLst>
            <a:ext uri="{FF2B5EF4-FFF2-40B4-BE49-F238E27FC236}">
              <a16:creationId xmlns:a16="http://schemas.microsoft.com/office/drawing/2014/main" id="{00000000-0008-0000-07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0" name="TextBox 29">
          <a:extLst>
            <a:ext uri="{FF2B5EF4-FFF2-40B4-BE49-F238E27FC236}">
              <a16:creationId xmlns:a16="http://schemas.microsoft.com/office/drawing/2014/main" id="{00000000-0008-0000-07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1" name="TextBox 30">
          <a:extLst>
            <a:ext uri="{FF2B5EF4-FFF2-40B4-BE49-F238E27FC236}">
              <a16:creationId xmlns:a16="http://schemas.microsoft.com/office/drawing/2014/main" id="{00000000-0008-0000-07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2" name="TextBox 31">
          <a:extLst>
            <a:ext uri="{FF2B5EF4-FFF2-40B4-BE49-F238E27FC236}">
              <a16:creationId xmlns:a16="http://schemas.microsoft.com/office/drawing/2014/main" id="{00000000-0008-0000-07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3" name="TextBox 32">
          <a:extLst>
            <a:ext uri="{FF2B5EF4-FFF2-40B4-BE49-F238E27FC236}">
              <a16:creationId xmlns:a16="http://schemas.microsoft.com/office/drawing/2014/main" id="{00000000-0008-0000-07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4" name="TextBox 33">
          <a:extLst>
            <a:ext uri="{FF2B5EF4-FFF2-40B4-BE49-F238E27FC236}">
              <a16:creationId xmlns:a16="http://schemas.microsoft.com/office/drawing/2014/main" id="{00000000-0008-0000-07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5" name="TextBox 34">
          <a:extLst>
            <a:ext uri="{FF2B5EF4-FFF2-40B4-BE49-F238E27FC236}">
              <a16:creationId xmlns:a16="http://schemas.microsoft.com/office/drawing/2014/main" id="{00000000-0008-0000-07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6" name="TextBox 35">
          <a:extLst>
            <a:ext uri="{FF2B5EF4-FFF2-40B4-BE49-F238E27FC236}">
              <a16:creationId xmlns:a16="http://schemas.microsoft.com/office/drawing/2014/main" id="{00000000-0008-0000-07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22</xdr:row>
      <xdr:rowOff>170180</xdr:rowOff>
    </xdr:to>
    <xdr:sp macro="" textlink="">
      <xdr:nvSpPr>
        <xdr:cNvPr id="37" name="TextBox 36">
          <a:extLst>
            <a:ext uri="{FF2B5EF4-FFF2-40B4-BE49-F238E27FC236}">
              <a16:creationId xmlns:a16="http://schemas.microsoft.com/office/drawing/2014/main" id="{00000000-0008-0000-07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9</xdr:row>
      <xdr:rowOff>0</xdr:rowOff>
    </xdr:from>
    <xdr:ext cx="180975" cy="3094355"/>
    <xdr:sp macro="" textlink="">
      <xdr:nvSpPr>
        <xdr:cNvPr id="38" name="TextBox 37">
          <a:extLst>
            <a:ext uri="{FF2B5EF4-FFF2-40B4-BE49-F238E27FC236}">
              <a16:creationId xmlns:a16="http://schemas.microsoft.com/office/drawing/2014/main" id="{00000000-0008-0000-0700-00002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39" name="TextBox 38">
          <a:extLst>
            <a:ext uri="{FF2B5EF4-FFF2-40B4-BE49-F238E27FC236}">
              <a16:creationId xmlns:a16="http://schemas.microsoft.com/office/drawing/2014/main" id="{00000000-0008-0000-0700-00002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0" name="TextBox 39">
          <a:extLst>
            <a:ext uri="{FF2B5EF4-FFF2-40B4-BE49-F238E27FC236}">
              <a16:creationId xmlns:a16="http://schemas.microsoft.com/office/drawing/2014/main" id="{00000000-0008-0000-0700-00002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1" name="TextBox 40">
          <a:extLst>
            <a:ext uri="{FF2B5EF4-FFF2-40B4-BE49-F238E27FC236}">
              <a16:creationId xmlns:a16="http://schemas.microsoft.com/office/drawing/2014/main" id="{00000000-0008-0000-0700-00002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2" name="TextBox 41">
          <a:extLst>
            <a:ext uri="{FF2B5EF4-FFF2-40B4-BE49-F238E27FC236}">
              <a16:creationId xmlns:a16="http://schemas.microsoft.com/office/drawing/2014/main" id="{00000000-0008-0000-0700-00002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3" name="TextBox 42">
          <a:extLst>
            <a:ext uri="{FF2B5EF4-FFF2-40B4-BE49-F238E27FC236}">
              <a16:creationId xmlns:a16="http://schemas.microsoft.com/office/drawing/2014/main" id="{00000000-0008-0000-0700-00002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4" name="TextBox 43">
          <a:extLst>
            <a:ext uri="{FF2B5EF4-FFF2-40B4-BE49-F238E27FC236}">
              <a16:creationId xmlns:a16="http://schemas.microsoft.com/office/drawing/2014/main" id="{00000000-0008-0000-0700-00002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5" name="TextBox 44">
          <a:extLst>
            <a:ext uri="{FF2B5EF4-FFF2-40B4-BE49-F238E27FC236}">
              <a16:creationId xmlns:a16="http://schemas.microsoft.com/office/drawing/2014/main" id="{00000000-0008-0000-0700-00002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6" name="TextBox 45">
          <a:extLst>
            <a:ext uri="{FF2B5EF4-FFF2-40B4-BE49-F238E27FC236}">
              <a16:creationId xmlns:a16="http://schemas.microsoft.com/office/drawing/2014/main" id="{00000000-0008-0000-0700-00002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7" name="TextBox 46">
          <a:extLst>
            <a:ext uri="{FF2B5EF4-FFF2-40B4-BE49-F238E27FC236}">
              <a16:creationId xmlns:a16="http://schemas.microsoft.com/office/drawing/2014/main" id="{00000000-0008-0000-0700-00002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8" name="TextBox 47">
          <a:extLst>
            <a:ext uri="{FF2B5EF4-FFF2-40B4-BE49-F238E27FC236}">
              <a16:creationId xmlns:a16="http://schemas.microsoft.com/office/drawing/2014/main" id="{00000000-0008-0000-0700-00003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9" name="TextBox 48">
          <a:extLst>
            <a:ext uri="{FF2B5EF4-FFF2-40B4-BE49-F238E27FC236}">
              <a16:creationId xmlns:a16="http://schemas.microsoft.com/office/drawing/2014/main" id="{00000000-0008-0000-0700-00003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0" name="TextBox 49">
          <a:extLst>
            <a:ext uri="{FF2B5EF4-FFF2-40B4-BE49-F238E27FC236}">
              <a16:creationId xmlns:a16="http://schemas.microsoft.com/office/drawing/2014/main" id="{00000000-0008-0000-0700-00003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1" name="TextBox 50">
          <a:extLst>
            <a:ext uri="{FF2B5EF4-FFF2-40B4-BE49-F238E27FC236}">
              <a16:creationId xmlns:a16="http://schemas.microsoft.com/office/drawing/2014/main" id="{00000000-0008-0000-0700-00003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2" name="TextBox 51">
          <a:extLst>
            <a:ext uri="{FF2B5EF4-FFF2-40B4-BE49-F238E27FC236}">
              <a16:creationId xmlns:a16="http://schemas.microsoft.com/office/drawing/2014/main" id="{00000000-0008-0000-0700-00003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3" name="TextBox 52">
          <a:extLst>
            <a:ext uri="{FF2B5EF4-FFF2-40B4-BE49-F238E27FC236}">
              <a16:creationId xmlns:a16="http://schemas.microsoft.com/office/drawing/2014/main" id="{00000000-0008-0000-0700-00003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4" name="TextBox 53">
          <a:extLst>
            <a:ext uri="{FF2B5EF4-FFF2-40B4-BE49-F238E27FC236}">
              <a16:creationId xmlns:a16="http://schemas.microsoft.com/office/drawing/2014/main" id="{00000000-0008-0000-0700-00003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5" name="TextBox 54">
          <a:extLst>
            <a:ext uri="{FF2B5EF4-FFF2-40B4-BE49-F238E27FC236}">
              <a16:creationId xmlns:a16="http://schemas.microsoft.com/office/drawing/2014/main" id="{00000000-0008-0000-0700-00003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6" name="TextBox 55">
          <a:extLst>
            <a:ext uri="{FF2B5EF4-FFF2-40B4-BE49-F238E27FC236}">
              <a16:creationId xmlns:a16="http://schemas.microsoft.com/office/drawing/2014/main" id="{00000000-0008-0000-0700-00003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7" name="TextBox 56">
          <a:extLst>
            <a:ext uri="{FF2B5EF4-FFF2-40B4-BE49-F238E27FC236}">
              <a16:creationId xmlns:a16="http://schemas.microsoft.com/office/drawing/2014/main" id="{00000000-0008-0000-0700-00003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8" name="TextBox 57">
          <a:extLst>
            <a:ext uri="{FF2B5EF4-FFF2-40B4-BE49-F238E27FC236}">
              <a16:creationId xmlns:a16="http://schemas.microsoft.com/office/drawing/2014/main" id="{00000000-0008-0000-0700-00003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9" name="TextBox 58">
          <a:extLst>
            <a:ext uri="{FF2B5EF4-FFF2-40B4-BE49-F238E27FC236}">
              <a16:creationId xmlns:a16="http://schemas.microsoft.com/office/drawing/2014/main" id="{00000000-0008-0000-0700-00003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0" name="TextBox 59">
          <a:extLst>
            <a:ext uri="{FF2B5EF4-FFF2-40B4-BE49-F238E27FC236}">
              <a16:creationId xmlns:a16="http://schemas.microsoft.com/office/drawing/2014/main" id="{00000000-0008-0000-0700-00003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1" name="TextBox 60">
          <a:extLst>
            <a:ext uri="{FF2B5EF4-FFF2-40B4-BE49-F238E27FC236}">
              <a16:creationId xmlns:a16="http://schemas.microsoft.com/office/drawing/2014/main" id="{00000000-0008-0000-0700-00003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2" name="TextBox 61">
          <a:extLst>
            <a:ext uri="{FF2B5EF4-FFF2-40B4-BE49-F238E27FC236}">
              <a16:creationId xmlns:a16="http://schemas.microsoft.com/office/drawing/2014/main" id="{00000000-0008-0000-0700-00003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3" name="TextBox 62">
          <a:extLst>
            <a:ext uri="{FF2B5EF4-FFF2-40B4-BE49-F238E27FC236}">
              <a16:creationId xmlns:a16="http://schemas.microsoft.com/office/drawing/2014/main" id="{00000000-0008-0000-0700-00003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4" name="TextBox 63">
          <a:extLst>
            <a:ext uri="{FF2B5EF4-FFF2-40B4-BE49-F238E27FC236}">
              <a16:creationId xmlns:a16="http://schemas.microsoft.com/office/drawing/2014/main" id="{00000000-0008-0000-0700-00004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5" name="TextBox 64">
          <a:extLst>
            <a:ext uri="{FF2B5EF4-FFF2-40B4-BE49-F238E27FC236}">
              <a16:creationId xmlns:a16="http://schemas.microsoft.com/office/drawing/2014/main" id="{00000000-0008-0000-0700-00004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6" name="TextBox 65">
          <a:extLst>
            <a:ext uri="{FF2B5EF4-FFF2-40B4-BE49-F238E27FC236}">
              <a16:creationId xmlns:a16="http://schemas.microsoft.com/office/drawing/2014/main" id="{00000000-0008-0000-0700-00004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7" name="TextBox 66">
          <a:extLst>
            <a:ext uri="{FF2B5EF4-FFF2-40B4-BE49-F238E27FC236}">
              <a16:creationId xmlns:a16="http://schemas.microsoft.com/office/drawing/2014/main" id="{00000000-0008-0000-0700-00004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8" name="TextBox 67">
          <a:extLst>
            <a:ext uri="{FF2B5EF4-FFF2-40B4-BE49-F238E27FC236}">
              <a16:creationId xmlns:a16="http://schemas.microsoft.com/office/drawing/2014/main" id="{00000000-0008-0000-0700-00004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9" name="TextBox 68">
          <a:extLst>
            <a:ext uri="{FF2B5EF4-FFF2-40B4-BE49-F238E27FC236}">
              <a16:creationId xmlns:a16="http://schemas.microsoft.com/office/drawing/2014/main" id="{00000000-0008-0000-0700-00004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0" name="TextBox 69">
          <a:extLst>
            <a:ext uri="{FF2B5EF4-FFF2-40B4-BE49-F238E27FC236}">
              <a16:creationId xmlns:a16="http://schemas.microsoft.com/office/drawing/2014/main" id="{00000000-0008-0000-0700-00004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1" name="TextBox 70">
          <a:extLst>
            <a:ext uri="{FF2B5EF4-FFF2-40B4-BE49-F238E27FC236}">
              <a16:creationId xmlns:a16="http://schemas.microsoft.com/office/drawing/2014/main" id="{00000000-0008-0000-0700-00004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2" name="TextBox 71">
          <a:extLst>
            <a:ext uri="{FF2B5EF4-FFF2-40B4-BE49-F238E27FC236}">
              <a16:creationId xmlns:a16="http://schemas.microsoft.com/office/drawing/2014/main" id="{00000000-0008-0000-0700-00004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2419350</xdr:colOff>
      <xdr:row>8</xdr:row>
      <xdr:rowOff>447675</xdr:rowOff>
    </xdr:from>
    <xdr:ext cx="180975" cy="3094355"/>
    <xdr:sp macro="" textlink="">
      <xdr:nvSpPr>
        <xdr:cNvPr id="73" name="TextBox 72">
          <a:extLst>
            <a:ext uri="{FF2B5EF4-FFF2-40B4-BE49-F238E27FC236}">
              <a16:creationId xmlns:a16="http://schemas.microsoft.com/office/drawing/2014/main" id="{00000000-0008-0000-0700-000049000000}"/>
            </a:ext>
          </a:extLst>
        </xdr:cNvPr>
        <xdr:cNvSpPr txBox="1">
          <a:spLocks noChangeArrowheads="1"/>
        </xdr:cNvSpPr>
      </xdr:nvSpPr>
      <xdr:spPr bwMode="auto">
        <a:xfrm>
          <a:off x="2830830" y="2047875"/>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350520</xdr:colOff>
      <xdr:row>2</xdr:row>
      <xdr:rowOff>0</xdr:rowOff>
    </xdr:from>
    <xdr:to>
      <xdr:col>1</xdr:col>
      <xdr:colOff>1363980</xdr:colOff>
      <xdr:row>2</xdr:row>
      <xdr:rowOff>0</xdr:rowOff>
    </xdr:to>
    <xdr:cxnSp macro="">
      <xdr:nvCxnSpPr>
        <xdr:cNvPr id="74" name="Straight Connector 73">
          <a:extLst>
            <a:ext uri="{FF2B5EF4-FFF2-40B4-BE49-F238E27FC236}">
              <a16:creationId xmlns:a16="http://schemas.microsoft.com/office/drawing/2014/main" id="{37F55C58-6E07-4104-BFAC-03A08A07F1D0}"/>
            </a:ext>
          </a:extLst>
        </xdr:cNvPr>
        <xdr:cNvCxnSpPr/>
      </xdr:nvCxnSpPr>
      <xdr:spPr>
        <a:xfrm>
          <a:off x="762000" y="39624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180975</xdr:colOff>
      <xdr:row>20</xdr:row>
      <xdr:rowOff>221615</xdr:rowOff>
    </xdr:to>
    <xdr:sp macro="" textlink="">
      <xdr:nvSpPr>
        <xdr:cNvPr id="2" name="TextBox 1">
          <a:extLst>
            <a:ext uri="{FF2B5EF4-FFF2-40B4-BE49-F238E27FC236}">
              <a16:creationId xmlns:a16="http://schemas.microsoft.com/office/drawing/2014/main" id="{00000000-0008-0000-0800-00000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 name="TextBox 2">
          <a:extLst>
            <a:ext uri="{FF2B5EF4-FFF2-40B4-BE49-F238E27FC236}">
              <a16:creationId xmlns:a16="http://schemas.microsoft.com/office/drawing/2014/main" id="{00000000-0008-0000-0800-00000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4" name="TextBox 3">
          <a:extLst>
            <a:ext uri="{FF2B5EF4-FFF2-40B4-BE49-F238E27FC236}">
              <a16:creationId xmlns:a16="http://schemas.microsoft.com/office/drawing/2014/main" id="{00000000-0008-0000-0800-00000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5" name="TextBox 4">
          <a:extLst>
            <a:ext uri="{FF2B5EF4-FFF2-40B4-BE49-F238E27FC236}">
              <a16:creationId xmlns:a16="http://schemas.microsoft.com/office/drawing/2014/main" id="{00000000-0008-0000-0800-00000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6" name="TextBox 5">
          <a:extLst>
            <a:ext uri="{FF2B5EF4-FFF2-40B4-BE49-F238E27FC236}">
              <a16:creationId xmlns:a16="http://schemas.microsoft.com/office/drawing/2014/main" id="{00000000-0008-0000-0800-00000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7" name="TextBox 6">
          <a:extLst>
            <a:ext uri="{FF2B5EF4-FFF2-40B4-BE49-F238E27FC236}">
              <a16:creationId xmlns:a16="http://schemas.microsoft.com/office/drawing/2014/main" id="{00000000-0008-0000-0800-00000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8" name="TextBox 7">
          <a:extLst>
            <a:ext uri="{FF2B5EF4-FFF2-40B4-BE49-F238E27FC236}">
              <a16:creationId xmlns:a16="http://schemas.microsoft.com/office/drawing/2014/main" id="{00000000-0008-0000-0800-00000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9" name="TextBox 8">
          <a:extLst>
            <a:ext uri="{FF2B5EF4-FFF2-40B4-BE49-F238E27FC236}">
              <a16:creationId xmlns:a16="http://schemas.microsoft.com/office/drawing/2014/main" id="{00000000-0008-0000-0800-00000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0" name="TextBox 9">
          <a:extLst>
            <a:ext uri="{FF2B5EF4-FFF2-40B4-BE49-F238E27FC236}">
              <a16:creationId xmlns:a16="http://schemas.microsoft.com/office/drawing/2014/main" id="{00000000-0008-0000-0800-00000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1" name="TextBox 10">
          <a:extLst>
            <a:ext uri="{FF2B5EF4-FFF2-40B4-BE49-F238E27FC236}">
              <a16:creationId xmlns:a16="http://schemas.microsoft.com/office/drawing/2014/main" id="{00000000-0008-0000-0800-00000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2" name="TextBox 11">
          <a:extLst>
            <a:ext uri="{FF2B5EF4-FFF2-40B4-BE49-F238E27FC236}">
              <a16:creationId xmlns:a16="http://schemas.microsoft.com/office/drawing/2014/main" id="{00000000-0008-0000-0800-00000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3" name="TextBox 12">
          <a:extLst>
            <a:ext uri="{FF2B5EF4-FFF2-40B4-BE49-F238E27FC236}">
              <a16:creationId xmlns:a16="http://schemas.microsoft.com/office/drawing/2014/main" id="{00000000-0008-0000-0800-00000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4" name="TextBox 13">
          <a:extLst>
            <a:ext uri="{FF2B5EF4-FFF2-40B4-BE49-F238E27FC236}">
              <a16:creationId xmlns:a16="http://schemas.microsoft.com/office/drawing/2014/main" id="{00000000-0008-0000-0800-00000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5" name="TextBox 14">
          <a:extLst>
            <a:ext uri="{FF2B5EF4-FFF2-40B4-BE49-F238E27FC236}">
              <a16:creationId xmlns:a16="http://schemas.microsoft.com/office/drawing/2014/main" id="{00000000-0008-0000-0800-00000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6" name="TextBox 15">
          <a:extLst>
            <a:ext uri="{FF2B5EF4-FFF2-40B4-BE49-F238E27FC236}">
              <a16:creationId xmlns:a16="http://schemas.microsoft.com/office/drawing/2014/main" id="{00000000-0008-0000-0800-00001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7" name="TextBox 16">
          <a:extLst>
            <a:ext uri="{FF2B5EF4-FFF2-40B4-BE49-F238E27FC236}">
              <a16:creationId xmlns:a16="http://schemas.microsoft.com/office/drawing/2014/main" id="{00000000-0008-0000-0800-00001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8" name="TextBox 17">
          <a:extLst>
            <a:ext uri="{FF2B5EF4-FFF2-40B4-BE49-F238E27FC236}">
              <a16:creationId xmlns:a16="http://schemas.microsoft.com/office/drawing/2014/main" id="{00000000-0008-0000-0800-00001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19" name="TextBox 18">
          <a:extLst>
            <a:ext uri="{FF2B5EF4-FFF2-40B4-BE49-F238E27FC236}">
              <a16:creationId xmlns:a16="http://schemas.microsoft.com/office/drawing/2014/main" id="{00000000-0008-0000-0800-00001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0" name="TextBox 19">
          <a:extLst>
            <a:ext uri="{FF2B5EF4-FFF2-40B4-BE49-F238E27FC236}">
              <a16:creationId xmlns:a16="http://schemas.microsoft.com/office/drawing/2014/main" id="{00000000-0008-0000-0800-00001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1" name="TextBox 20">
          <a:extLst>
            <a:ext uri="{FF2B5EF4-FFF2-40B4-BE49-F238E27FC236}">
              <a16:creationId xmlns:a16="http://schemas.microsoft.com/office/drawing/2014/main" id="{00000000-0008-0000-0800-00001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2" name="TextBox 21">
          <a:extLst>
            <a:ext uri="{FF2B5EF4-FFF2-40B4-BE49-F238E27FC236}">
              <a16:creationId xmlns:a16="http://schemas.microsoft.com/office/drawing/2014/main" id="{00000000-0008-0000-0800-00001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3" name="TextBox 22">
          <a:extLst>
            <a:ext uri="{FF2B5EF4-FFF2-40B4-BE49-F238E27FC236}">
              <a16:creationId xmlns:a16="http://schemas.microsoft.com/office/drawing/2014/main" id="{00000000-0008-0000-0800-00001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4" name="TextBox 23">
          <a:extLst>
            <a:ext uri="{FF2B5EF4-FFF2-40B4-BE49-F238E27FC236}">
              <a16:creationId xmlns:a16="http://schemas.microsoft.com/office/drawing/2014/main" id="{00000000-0008-0000-0800-00001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5" name="TextBox 24">
          <a:extLst>
            <a:ext uri="{FF2B5EF4-FFF2-40B4-BE49-F238E27FC236}">
              <a16:creationId xmlns:a16="http://schemas.microsoft.com/office/drawing/2014/main" id="{00000000-0008-0000-0800-00001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6" name="TextBox 25">
          <a:extLst>
            <a:ext uri="{FF2B5EF4-FFF2-40B4-BE49-F238E27FC236}">
              <a16:creationId xmlns:a16="http://schemas.microsoft.com/office/drawing/2014/main" id="{00000000-0008-0000-0800-00001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7" name="TextBox 26">
          <a:extLst>
            <a:ext uri="{FF2B5EF4-FFF2-40B4-BE49-F238E27FC236}">
              <a16:creationId xmlns:a16="http://schemas.microsoft.com/office/drawing/2014/main" id="{00000000-0008-0000-0800-00001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8" name="TextBox 27">
          <a:extLst>
            <a:ext uri="{FF2B5EF4-FFF2-40B4-BE49-F238E27FC236}">
              <a16:creationId xmlns:a16="http://schemas.microsoft.com/office/drawing/2014/main" id="{00000000-0008-0000-0800-00001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29" name="TextBox 28">
          <a:extLst>
            <a:ext uri="{FF2B5EF4-FFF2-40B4-BE49-F238E27FC236}">
              <a16:creationId xmlns:a16="http://schemas.microsoft.com/office/drawing/2014/main" id="{00000000-0008-0000-0800-00001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0" name="TextBox 29">
          <a:extLst>
            <a:ext uri="{FF2B5EF4-FFF2-40B4-BE49-F238E27FC236}">
              <a16:creationId xmlns:a16="http://schemas.microsoft.com/office/drawing/2014/main" id="{00000000-0008-0000-0800-00001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1" name="TextBox 30">
          <a:extLst>
            <a:ext uri="{FF2B5EF4-FFF2-40B4-BE49-F238E27FC236}">
              <a16:creationId xmlns:a16="http://schemas.microsoft.com/office/drawing/2014/main" id="{00000000-0008-0000-0800-00001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2" name="TextBox 31">
          <a:extLst>
            <a:ext uri="{FF2B5EF4-FFF2-40B4-BE49-F238E27FC236}">
              <a16:creationId xmlns:a16="http://schemas.microsoft.com/office/drawing/2014/main" id="{00000000-0008-0000-0800-00002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3" name="TextBox 32">
          <a:extLst>
            <a:ext uri="{FF2B5EF4-FFF2-40B4-BE49-F238E27FC236}">
              <a16:creationId xmlns:a16="http://schemas.microsoft.com/office/drawing/2014/main" id="{00000000-0008-0000-0800-00002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4" name="TextBox 33">
          <a:extLst>
            <a:ext uri="{FF2B5EF4-FFF2-40B4-BE49-F238E27FC236}">
              <a16:creationId xmlns:a16="http://schemas.microsoft.com/office/drawing/2014/main" id="{00000000-0008-0000-0800-00002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5" name="TextBox 34">
          <a:extLst>
            <a:ext uri="{FF2B5EF4-FFF2-40B4-BE49-F238E27FC236}">
              <a16:creationId xmlns:a16="http://schemas.microsoft.com/office/drawing/2014/main" id="{00000000-0008-0000-0800-00002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6" name="TextBox 35">
          <a:extLst>
            <a:ext uri="{FF2B5EF4-FFF2-40B4-BE49-F238E27FC236}">
              <a16:creationId xmlns:a16="http://schemas.microsoft.com/office/drawing/2014/main" id="{00000000-0008-0000-0800-00002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180975</xdr:colOff>
      <xdr:row>20</xdr:row>
      <xdr:rowOff>221615</xdr:rowOff>
    </xdr:to>
    <xdr:sp macro="" textlink="">
      <xdr:nvSpPr>
        <xdr:cNvPr id="37" name="TextBox 36">
          <a:extLst>
            <a:ext uri="{FF2B5EF4-FFF2-40B4-BE49-F238E27FC236}">
              <a16:creationId xmlns:a16="http://schemas.microsoft.com/office/drawing/2014/main" id="{00000000-0008-0000-0800-00002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9</xdr:row>
      <xdr:rowOff>0</xdr:rowOff>
    </xdr:from>
    <xdr:ext cx="180975" cy="3094355"/>
    <xdr:sp macro="" textlink="">
      <xdr:nvSpPr>
        <xdr:cNvPr id="38" name="TextBox 37">
          <a:extLst>
            <a:ext uri="{FF2B5EF4-FFF2-40B4-BE49-F238E27FC236}">
              <a16:creationId xmlns:a16="http://schemas.microsoft.com/office/drawing/2014/main" id="{00000000-0008-0000-0800-00002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39" name="TextBox 38">
          <a:extLst>
            <a:ext uri="{FF2B5EF4-FFF2-40B4-BE49-F238E27FC236}">
              <a16:creationId xmlns:a16="http://schemas.microsoft.com/office/drawing/2014/main" id="{00000000-0008-0000-0800-00002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0" name="TextBox 39">
          <a:extLst>
            <a:ext uri="{FF2B5EF4-FFF2-40B4-BE49-F238E27FC236}">
              <a16:creationId xmlns:a16="http://schemas.microsoft.com/office/drawing/2014/main" id="{00000000-0008-0000-0800-00002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1" name="TextBox 40">
          <a:extLst>
            <a:ext uri="{FF2B5EF4-FFF2-40B4-BE49-F238E27FC236}">
              <a16:creationId xmlns:a16="http://schemas.microsoft.com/office/drawing/2014/main" id="{00000000-0008-0000-0800-00002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2" name="TextBox 41">
          <a:extLst>
            <a:ext uri="{FF2B5EF4-FFF2-40B4-BE49-F238E27FC236}">
              <a16:creationId xmlns:a16="http://schemas.microsoft.com/office/drawing/2014/main" id="{00000000-0008-0000-0800-00002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3" name="TextBox 42">
          <a:extLst>
            <a:ext uri="{FF2B5EF4-FFF2-40B4-BE49-F238E27FC236}">
              <a16:creationId xmlns:a16="http://schemas.microsoft.com/office/drawing/2014/main" id="{00000000-0008-0000-0800-00002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4" name="TextBox 43">
          <a:extLst>
            <a:ext uri="{FF2B5EF4-FFF2-40B4-BE49-F238E27FC236}">
              <a16:creationId xmlns:a16="http://schemas.microsoft.com/office/drawing/2014/main" id="{00000000-0008-0000-0800-00002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5" name="TextBox 44">
          <a:extLst>
            <a:ext uri="{FF2B5EF4-FFF2-40B4-BE49-F238E27FC236}">
              <a16:creationId xmlns:a16="http://schemas.microsoft.com/office/drawing/2014/main" id="{00000000-0008-0000-0800-00002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6" name="TextBox 45">
          <a:extLst>
            <a:ext uri="{FF2B5EF4-FFF2-40B4-BE49-F238E27FC236}">
              <a16:creationId xmlns:a16="http://schemas.microsoft.com/office/drawing/2014/main" id="{00000000-0008-0000-0800-00002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7" name="TextBox 46">
          <a:extLst>
            <a:ext uri="{FF2B5EF4-FFF2-40B4-BE49-F238E27FC236}">
              <a16:creationId xmlns:a16="http://schemas.microsoft.com/office/drawing/2014/main" id="{00000000-0008-0000-0800-00002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8" name="TextBox 47">
          <a:extLst>
            <a:ext uri="{FF2B5EF4-FFF2-40B4-BE49-F238E27FC236}">
              <a16:creationId xmlns:a16="http://schemas.microsoft.com/office/drawing/2014/main" id="{00000000-0008-0000-0800-00003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49" name="TextBox 48">
          <a:extLst>
            <a:ext uri="{FF2B5EF4-FFF2-40B4-BE49-F238E27FC236}">
              <a16:creationId xmlns:a16="http://schemas.microsoft.com/office/drawing/2014/main" id="{00000000-0008-0000-0800-00003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0" name="TextBox 49">
          <a:extLst>
            <a:ext uri="{FF2B5EF4-FFF2-40B4-BE49-F238E27FC236}">
              <a16:creationId xmlns:a16="http://schemas.microsoft.com/office/drawing/2014/main" id="{00000000-0008-0000-0800-00003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1" name="TextBox 50">
          <a:extLst>
            <a:ext uri="{FF2B5EF4-FFF2-40B4-BE49-F238E27FC236}">
              <a16:creationId xmlns:a16="http://schemas.microsoft.com/office/drawing/2014/main" id="{00000000-0008-0000-0800-00003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2" name="TextBox 51">
          <a:extLst>
            <a:ext uri="{FF2B5EF4-FFF2-40B4-BE49-F238E27FC236}">
              <a16:creationId xmlns:a16="http://schemas.microsoft.com/office/drawing/2014/main" id="{00000000-0008-0000-0800-00003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3" name="TextBox 52">
          <a:extLst>
            <a:ext uri="{FF2B5EF4-FFF2-40B4-BE49-F238E27FC236}">
              <a16:creationId xmlns:a16="http://schemas.microsoft.com/office/drawing/2014/main" id="{00000000-0008-0000-0800-00003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4" name="TextBox 53">
          <a:extLst>
            <a:ext uri="{FF2B5EF4-FFF2-40B4-BE49-F238E27FC236}">
              <a16:creationId xmlns:a16="http://schemas.microsoft.com/office/drawing/2014/main" id="{00000000-0008-0000-0800-00003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5" name="TextBox 54">
          <a:extLst>
            <a:ext uri="{FF2B5EF4-FFF2-40B4-BE49-F238E27FC236}">
              <a16:creationId xmlns:a16="http://schemas.microsoft.com/office/drawing/2014/main" id="{00000000-0008-0000-0800-00003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6" name="TextBox 55">
          <a:extLst>
            <a:ext uri="{FF2B5EF4-FFF2-40B4-BE49-F238E27FC236}">
              <a16:creationId xmlns:a16="http://schemas.microsoft.com/office/drawing/2014/main" id="{00000000-0008-0000-0800-00003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7" name="TextBox 56">
          <a:extLst>
            <a:ext uri="{FF2B5EF4-FFF2-40B4-BE49-F238E27FC236}">
              <a16:creationId xmlns:a16="http://schemas.microsoft.com/office/drawing/2014/main" id="{00000000-0008-0000-0800-00003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8" name="TextBox 57">
          <a:extLst>
            <a:ext uri="{FF2B5EF4-FFF2-40B4-BE49-F238E27FC236}">
              <a16:creationId xmlns:a16="http://schemas.microsoft.com/office/drawing/2014/main" id="{00000000-0008-0000-0800-00003A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59" name="TextBox 58">
          <a:extLst>
            <a:ext uri="{FF2B5EF4-FFF2-40B4-BE49-F238E27FC236}">
              <a16:creationId xmlns:a16="http://schemas.microsoft.com/office/drawing/2014/main" id="{00000000-0008-0000-0800-00003B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0" name="TextBox 59">
          <a:extLst>
            <a:ext uri="{FF2B5EF4-FFF2-40B4-BE49-F238E27FC236}">
              <a16:creationId xmlns:a16="http://schemas.microsoft.com/office/drawing/2014/main" id="{00000000-0008-0000-0800-00003C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1" name="TextBox 60">
          <a:extLst>
            <a:ext uri="{FF2B5EF4-FFF2-40B4-BE49-F238E27FC236}">
              <a16:creationId xmlns:a16="http://schemas.microsoft.com/office/drawing/2014/main" id="{00000000-0008-0000-0800-00003D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2" name="TextBox 61">
          <a:extLst>
            <a:ext uri="{FF2B5EF4-FFF2-40B4-BE49-F238E27FC236}">
              <a16:creationId xmlns:a16="http://schemas.microsoft.com/office/drawing/2014/main" id="{00000000-0008-0000-0800-00003E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3" name="TextBox 62">
          <a:extLst>
            <a:ext uri="{FF2B5EF4-FFF2-40B4-BE49-F238E27FC236}">
              <a16:creationId xmlns:a16="http://schemas.microsoft.com/office/drawing/2014/main" id="{00000000-0008-0000-0800-00003F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4" name="TextBox 63">
          <a:extLst>
            <a:ext uri="{FF2B5EF4-FFF2-40B4-BE49-F238E27FC236}">
              <a16:creationId xmlns:a16="http://schemas.microsoft.com/office/drawing/2014/main" id="{00000000-0008-0000-0800-000040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5" name="TextBox 64">
          <a:extLst>
            <a:ext uri="{FF2B5EF4-FFF2-40B4-BE49-F238E27FC236}">
              <a16:creationId xmlns:a16="http://schemas.microsoft.com/office/drawing/2014/main" id="{00000000-0008-0000-0800-000041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6" name="TextBox 65">
          <a:extLst>
            <a:ext uri="{FF2B5EF4-FFF2-40B4-BE49-F238E27FC236}">
              <a16:creationId xmlns:a16="http://schemas.microsoft.com/office/drawing/2014/main" id="{00000000-0008-0000-0800-000042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7" name="TextBox 66">
          <a:extLst>
            <a:ext uri="{FF2B5EF4-FFF2-40B4-BE49-F238E27FC236}">
              <a16:creationId xmlns:a16="http://schemas.microsoft.com/office/drawing/2014/main" id="{00000000-0008-0000-0800-000043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8" name="TextBox 67">
          <a:extLst>
            <a:ext uri="{FF2B5EF4-FFF2-40B4-BE49-F238E27FC236}">
              <a16:creationId xmlns:a16="http://schemas.microsoft.com/office/drawing/2014/main" id="{00000000-0008-0000-0800-000044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69" name="TextBox 68">
          <a:extLst>
            <a:ext uri="{FF2B5EF4-FFF2-40B4-BE49-F238E27FC236}">
              <a16:creationId xmlns:a16="http://schemas.microsoft.com/office/drawing/2014/main" id="{00000000-0008-0000-0800-000045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0" name="TextBox 69">
          <a:extLst>
            <a:ext uri="{FF2B5EF4-FFF2-40B4-BE49-F238E27FC236}">
              <a16:creationId xmlns:a16="http://schemas.microsoft.com/office/drawing/2014/main" id="{00000000-0008-0000-0800-000046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1" name="TextBox 70">
          <a:extLst>
            <a:ext uri="{FF2B5EF4-FFF2-40B4-BE49-F238E27FC236}">
              <a16:creationId xmlns:a16="http://schemas.microsoft.com/office/drawing/2014/main" id="{00000000-0008-0000-0800-000047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2" name="TextBox 71">
          <a:extLst>
            <a:ext uri="{FF2B5EF4-FFF2-40B4-BE49-F238E27FC236}">
              <a16:creationId xmlns:a16="http://schemas.microsoft.com/office/drawing/2014/main" id="{00000000-0008-0000-0800-000048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9</xdr:row>
      <xdr:rowOff>0</xdr:rowOff>
    </xdr:from>
    <xdr:ext cx="180975" cy="3094355"/>
    <xdr:sp macro="" textlink="">
      <xdr:nvSpPr>
        <xdr:cNvPr id="73" name="TextBox 72">
          <a:extLst>
            <a:ext uri="{FF2B5EF4-FFF2-40B4-BE49-F238E27FC236}">
              <a16:creationId xmlns:a16="http://schemas.microsoft.com/office/drawing/2014/main" id="{00000000-0008-0000-0800-000049000000}"/>
            </a:ext>
          </a:extLst>
        </xdr:cNvPr>
        <xdr:cNvSpPr txBox="1">
          <a:spLocks noChangeArrowheads="1"/>
        </xdr:cNvSpPr>
      </xdr:nvSpPr>
      <xdr:spPr bwMode="auto">
        <a:xfrm>
          <a:off x="0" y="2049780"/>
          <a:ext cx="180975" cy="309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403860</xdr:colOff>
      <xdr:row>2</xdr:row>
      <xdr:rowOff>7620</xdr:rowOff>
    </xdr:from>
    <xdr:to>
      <xdr:col>1</xdr:col>
      <xdr:colOff>1417320</xdr:colOff>
      <xdr:row>2</xdr:row>
      <xdr:rowOff>7620</xdr:rowOff>
    </xdr:to>
    <xdr:cxnSp macro="">
      <xdr:nvCxnSpPr>
        <xdr:cNvPr id="74" name="Straight Connector 73">
          <a:extLst>
            <a:ext uri="{FF2B5EF4-FFF2-40B4-BE49-F238E27FC236}">
              <a16:creationId xmlns:a16="http://schemas.microsoft.com/office/drawing/2014/main" id="{1D757E1E-BAD4-4A90-9F0B-3FFBF88DF2F6}"/>
            </a:ext>
          </a:extLst>
        </xdr:cNvPr>
        <xdr:cNvCxnSpPr/>
      </xdr:nvCxnSpPr>
      <xdr:spPr>
        <a:xfrm>
          <a:off x="815340" y="403860"/>
          <a:ext cx="1013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3"/>
  <sheetViews>
    <sheetView topLeftCell="A7" workbookViewId="0">
      <selection activeCell="A7" sqref="A7:F7"/>
    </sheetView>
  </sheetViews>
  <sheetFormatPr defaultColWidth="8.7109375" defaultRowHeight="15"/>
  <cols>
    <col min="1" max="1" width="5.140625" style="2" bestFit="1" customWidth="1"/>
    <col min="2" max="2" width="48.42578125" style="2" customWidth="1"/>
    <col min="3" max="3" width="16.5703125" style="2" customWidth="1"/>
    <col min="4" max="4" width="10.5703125" style="2" customWidth="1"/>
    <col min="5" max="5" width="7" style="2" customWidth="1"/>
    <col min="6" max="6" width="6.7109375" style="2" customWidth="1"/>
    <col min="7" max="7" width="12.28515625" style="2" hidden="1" customWidth="1"/>
    <col min="8" max="8" width="12.140625" style="2" hidden="1" customWidth="1"/>
    <col min="9" max="16384" width="8.7109375" style="2"/>
  </cols>
  <sheetData>
    <row r="1" spans="1:8" ht="15.75">
      <c r="A1" s="845" t="s">
        <v>83</v>
      </c>
      <c r="B1" s="845"/>
      <c r="C1" s="1"/>
      <c r="D1" s="1"/>
      <c r="E1" s="1"/>
    </row>
    <row r="2" spans="1:8" ht="15.75">
      <c r="A2" s="846" t="s">
        <v>0</v>
      </c>
      <c r="B2" s="846"/>
      <c r="C2" s="1"/>
      <c r="D2" s="1"/>
      <c r="E2" s="1"/>
    </row>
    <row r="3" spans="1:8" ht="15.75">
      <c r="A3" s="1"/>
      <c r="B3" s="1"/>
      <c r="C3" s="1"/>
      <c r="D3" s="1"/>
      <c r="E3" s="1"/>
    </row>
    <row r="4" spans="1:8" ht="18" customHeight="1">
      <c r="A4" s="847" t="s">
        <v>86</v>
      </c>
      <c r="B4" s="847"/>
      <c r="C4" s="847"/>
      <c r="D4" s="847"/>
      <c r="E4" s="847"/>
      <c r="F4" s="847"/>
    </row>
    <row r="5" spans="1:8" ht="18.75">
      <c r="A5" s="847" t="s">
        <v>84</v>
      </c>
      <c r="B5" s="847"/>
      <c r="C5" s="847"/>
      <c r="D5" s="847"/>
      <c r="E5" s="847"/>
      <c r="F5" s="847"/>
    </row>
    <row r="6" spans="1:8" ht="18.75">
      <c r="A6" s="847" t="s">
        <v>85</v>
      </c>
      <c r="B6" s="847"/>
      <c r="C6" s="847"/>
      <c r="D6" s="847"/>
      <c r="E6" s="847"/>
      <c r="F6" s="847"/>
    </row>
    <row r="7" spans="1:8" ht="16.5">
      <c r="A7" s="844" t="s">
        <v>1926</v>
      </c>
      <c r="B7" s="844"/>
      <c r="C7" s="844"/>
      <c r="D7" s="844"/>
      <c r="E7" s="844"/>
      <c r="F7" s="844"/>
    </row>
    <row r="9" spans="1:8" ht="36.6" customHeight="1">
      <c r="A9" s="709" t="s">
        <v>1</v>
      </c>
      <c r="B9" s="709" t="s">
        <v>2</v>
      </c>
      <c r="C9" s="709" t="s">
        <v>3</v>
      </c>
      <c r="D9" s="709" t="s">
        <v>4</v>
      </c>
      <c r="E9" s="709" t="s">
        <v>88</v>
      </c>
      <c r="F9" s="709" t="s">
        <v>5</v>
      </c>
      <c r="H9" s="338">
        <f>H10+H54</f>
        <v>324666702.60000002</v>
      </c>
    </row>
    <row r="10" spans="1:8" ht="16.5">
      <c r="A10" s="709" t="s">
        <v>6</v>
      </c>
      <c r="B10" s="710" t="s">
        <v>304</v>
      </c>
      <c r="C10" s="710"/>
      <c r="D10" s="710"/>
      <c r="E10" s="709"/>
      <c r="F10" s="709"/>
      <c r="G10" s="322"/>
      <c r="H10" s="323">
        <f>SUM(H11:H53)</f>
        <v>126851017</v>
      </c>
    </row>
    <row r="11" spans="1:8" ht="16.5">
      <c r="A11" s="711">
        <v>1</v>
      </c>
      <c r="B11" s="712" t="s">
        <v>7</v>
      </c>
      <c r="C11" s="321"/>
      <c r="D11" s="321"/>
      <c r="E11" s="76"/>
      <c r="F11" s="713"/>
      <c r="G11" s="324"/>
      <c r="H11" s="324"/>
    </row>
    <row r="12" spans="1:8" ht="16.5">
      <c r="A12" s="76" t="s">
        <v>8</v>
      </c>
      <c r="B12" s="78" t="s">
        <v>9</v>
      </c>
      <c r="C12" s="321"/>
      <c r="D12" s="321"/>
      <c r="E12" s="714"/>
      <c r="F12" s="715"/>
      <c r="G12" s="324"/>
      <c r="H12" s="324"/>
    </row>
    <row r="13" spans="1:8" ht="31.5">
      <c r="A13" s="75"/>
      <c r="B13" s="716" t="s">
        <v>1907</v>
      </c>
      <c r="C13" s="321"/>
      <c r="D13" s="321"/>
      <c r="E13" s="76" t="s">
        <v>10</v>
      </c>
      <c r="F13" s="713">
        <v>2</v>
      </c>
      <c r="G13" s="324">
        <v>1691147</v>
      </c>
      <c r="H13" s="324">
        <f t="shared" ref="H13:H53" si="0">F13*G13</f>
        <v>3382294</v>
      </c>
    </row>
    <row r="14" spans="1:8" ht="16.5">
      <c r="A14" s="75"/>
      <c r="B14" s="717" t="s">
        <v>1908</v>
      </c>
      <c r="C14" s="321"/>
      <c r="D14" s="321"/>
      <c r="E14" s="76" t="s">
        <v>10</v>
      </c>
      <c r="F14" s="713">
        <v>2</v>
      </c>
      <c r="G14" s="324">
        <v>15120000</v>
      </c>
      <c r="H14" s="324">
        <f t="shared" si="0"/>
        <v>30240000</v>
      </c>
    </row>
    <row r="15" spans="1:8" ht="16.5">
      <c r="A15" s="718">
        <v>2</v>
      </c>
      <c r="B15" s="719" t="s">
        <v>11</v>
      </c>
      <c r="C15" s="78"/>
      <c r="D15" s="78"/>
      <c r="E15" s="720"/>
      <c r="F15" s="721"/>
      <c r="G15" s="324"/>
      <c r="H15" s="324"/>
    </row>
    <row r="16" spans="1:8" ht="16.5">
      <c r="A16" s="714"/>
      <c r="B16" s="722" t="s">
        <v>12</v>
      </c>
      <c r="C16" s="78"/>
      <c r="D16" s="78"/>
      <c r="E16" s="76" t="s">
        <v>13</v>
      </c>
      <c r="F16" s="723">
        <v>100</v>
      </c>
      <c r="G16" s="324">
        <v>12036</v>
      </c>
      <c r="H16" s="324">
        <f t="shared" si="0"/>
        <v>1203600</v>
      </c>
    </row>
    <row r="17" spans="1:8" ht="16.5">
      <c r="A17" s="75">
        <v>3</v>
      </c>
      <c r="B17" s="719" t="s">
        <v>14</v>
      </c>
      <c r="C17" s="78"/>
      <c r="D17" s="78"/>
      <c r="E17" s="714" t="s">
        <v>15</v>
      </c>
      <c r="F17" s="715">
        <v>2</v>
      </c>
      <c r="G17" s="324"/>
      <c r="H17" s="324"/>
    </row>
    <row r="18" spans="1:8" ht="16.5">
      <c r="A18" s="724" t="s">
        <v>16</v>
      </c>
      <c r="B18" s="725" t="s">
        <v>17</v>
      </c>
      <c r="C18" s="726"/>
      <c r="D18" s="726"/>
      <c r="E18" s="727" t="s">
        <v>10</v>
      </c>
      <c r="F18" s="728">
        <v>1</v>
      </c>
      <c r="G18" s="324"/>
      <c r="H18" s="324"/>
    </row>
    <row r="19" spans="1:8" ht="63">
      <c r="A19" s="724"/>
      <c r="B19" s="729" t="s">
        <v>1909</v>
      </c>
      <c r="C19" s="730"/>
      <c r="D19" s="730"/>
      <c r="E19" s="731" t="s">
        <v>10</v>
      </c>
      <c r="F19" s="732">
        <v>1</v>
      </c>
      <c r="G19" s="324">
        <v>12958973</v>
      </c>
      <c r="H19" s="324">
        <f t="shared" si="0"/>
        <v>12958973</v>
      </c>
    </row>
    <row r="20" spans="1:8" ht="16.5">
      <c r="A20" s="724" t="s">
        <v>18</v>
      </c>
      <c r="B20" s="725" t="s">
        <v>19</v>
      </c>
      <c r="C20" s="719"/>
      <c r="D20" s="719"/>
      <c r="E20" s="731" t="s">
        <v>15</v>
      </c>
      <c r="F20" s="732">
        <v>1</v>
      </c>
      <c r="G20" s="324"/>
      <c r="H20" s="324"/>
    </row>
    <row r="21" spans="1:8" ht="31.5">
      <c r="A21" s="724"/>
      <c r="B21" s="729" t="s">
        <v>1910</v>
      </c>
      <c r="C21" s="719"/>
      <c r="D21" s="719"/>
      <c r="E21" s="731" t="s">
        <v>15</v>
      </c>
      <c r="F21" s="732">
        <v>1</v>
      </c>
      <c r="G21" s="324">
        <v>1082042</v>
      </c>
      <c r="H21" s="324">
        <f t="shared" si="0"/>
        <v>1082042</v>
      </c>
    </row>
    <row r="22" spans="1:8" ht="47.25">
      <c r="A22" s="724"/>
      <c r="B22" s="729" t="s">
        <v>1911</v>
      </c>
      <c r="C22" s="730"/>
      <c r="D22" s="730"/>
      <c r="E22" s="731" t="s">
        <v>15</v>
      </c>
      <c r="F22" s="732">
        <v>1</v>
      </c>
      <c r="G22" s="324">
        <v>6058220</v>
      </c>
      <c r="H22" s="324">
        <f t="shared" si="0"/>
        <v>6058220</v>
      </c>
    </row>
    <row r="23" spans="1:8" ht="16.5">
      <c r="A23" s="724"/>
      <c r="B23" s="733" t="s">
        <v>1912</v>
      </c>
      <c r="C23" s="716"/>
      <c r="D23" s="716"/>
      <c r="E23" s="727" t="s">
        <v>15</v>
      </c>
      <c r="F23" s="728">
        <v>1</v>
      </c>
      <c r="G23" s="324">
        <v>3683806</v>
      </c>
      <c r="H23" s="324">
        <f t="shared" si="0"/>
        <v>3683806</v>
      </c>
    </row>
    <row r="24" spans="1:8" ht="16.5">
      <c r="A24" s="711">
        <v>4</v>
      </c>
      <c r="B24" s="734" t="s">
        <v>20</v>
      </c>
      <c r="C24" s="78"/>
      <c r="D24" s="78"/>
      <c r="E24" s="714" t="s">
        <v>15</v>
      </c>
      <c r="F24" s="715">
        <v>2</v>
      </c>
      <c r="G24" s="324"/>
      <c r="H24" s="324"/>
    </row>
    <row r="25" spans="1:8" ht="16.5">
      <c r="A25" s="724" t="s">
        <v>21</v>
      </c>
      <c r="B25" s="735" t="s">
        <v>22</v>
      </c>
      <c r="C25" s="78"/>
      <c r="D25" s="78"/>
      <c r="E25" s="76"/>
      <c r="F25" s="736"/>
      <c r="G25" s="324"/>
      <c r="H25" s="324"/>
    </row>
    <row r="26" spans="1:8" ht="31.5">
      <c r="A26" s="724"/>
      <c r="B26" s="737" t="s">
        <v>1913</v>
      </c>
      <c r="C26" s="738"/>
      <c r="D26" s="738"/>
      <c r="E26" s="76" t="s">
        <v>15</v>
      </c>
      <c r="F26" s="713">
        <v>1</v>
      </c>
      <c r="G26" s="324">
        <v>3683806</v>
      </c>
      <c r="H26" s="324">
        <f t="shared" si="0"/>
        <v>3683806</v>
      </c>
    </row>
    <row r="27" spans="1:8" ht="31.5">
      <c r="A27" s="724"/>
      <c r="B27" s="737" t="s">
        <v>1914</v>
      </c>
      <c r="C27" s="739"/>
      <c r="D27" s="739"/>
      <c r="E27" s="76" t="s">
        <v>15</v>
      </c>
      <c r="F27" s="713">
        <v>1</v>
      </c>
      <c r="G27" s="324">
        <v>4931194</v>
      </c>
      <c r="H27" s="324">
        <f t="shared" si="0"/>
        <v>4931194</v>
      </c>
    </row>
    <row r="28" spans="1:8" ht="31.5">
      <c r="A28" s="724"/>
      <c r="B28" s="737" t="s">
        <v>1915</v>
      </c>
      <c r="C28" s="78"/>
      <c r="D28" s="78"/>
      <c r="E28" s="76" t="s">
        <v>15</v>
      </c>
      <c r="F28" s="713">
        <v>1</v>
      </c>
      <c r="G28" s="324">
        <v>2947045</v>
      </c>
      <c r="H28" s="324">
        <f t="shared" si="0"/>
        <v>2947045</v>
      </c>
    </row>
    <row r="29" spans="1:8" ht="16.5">
      <c r="A29" s="718">
        <v>5</v>
      </c>
      <c r="B29" s="740" t="s">
        <v>23</v>
      </c>
      <c r="C29" s="738"/>
      <c r="D29" s="738"/>
      <c r="E29" s="76"/>
      <c r="F29" s="713"/>
      <c r="G29" s="324"/>
      <c r="H29" s="324"/>
    </row>
    <row r="30" spans="1:8" s="337" customFormat="1" ht="31.5">
      <c r="A30" s="724" t="s">
        <v>24</v>
      </c>
      <c r="B30" s="741" t="s">
        <v>25</v>
      </c>
      <c r="C30" s="716"/>
      <c r="D30" s="716"/>
      <c r="E30" s="76" t="s">
        <v>26</v>
      </c>
      <c r="F30" s="713">
        <v>1</v>
      </c>
      <c r="G30" s="324"/>
      <c r="H30" s="324"/>
    </row>
    <row r="31" spans="1:8" ht="31.5">
      <c r="A31" s="714"/>
      <c r="B31" s="737" t="s">
        <v>1916</v>
      </c>
      <c r="C31" s="78"/>
      <c r="D31" s="78"/>
      <c r="E31" s="742" t="s">
        <v>10</v>
      </c>
      <c r="F31" s="713">
        <v>1</v>
      </c>
      <c r="G31" s="324">
        <v>2164084</v>
      </c>
      <c r="H31" s="324">
        <f t="shared" si="0"/>
        <v>2164084</v>
      </c>
    </row>
    <row r="32" spans="1:8" ht="16.5">
      <c r="A32" s="714"/>
      <c r="B32" s="737" t="s">
        <v>1917</v>
      </c>
      <c r="C32" s="78"/>
      <c r="D32" s="78"/>
      <c r="E32" s="742" t="s">
        <v>10</v>
      </c>
      <c r="F32" s="713">
        <v>1</v>
      </c>
      <c r="G32" s="324">
        <v>3114518</v>
      </c>
      <c r="H32" s="324">
        <f t="shared" si="0"/>
        <v>3114518</v>
      </c>
    </row>
    <row r="33" spans="1:8" ht="31.5">
      <c r="A33" s="714" t="s">
        <v>27</v>
      </c>
      <c r="B33" s="743" t="s">
        <v>28</v>
      </c>
      <c r="C33" s="78"/>
      <c r="D33" s="78"/>
      <c r="E33" s="76" t="s">
        <v>26</v>
      </c>
      <c r="F33" s="713">
        <v>1</v>
      </c>
      <c r="G33" s="324"/>
      <c r="H33" s="324"/>
    </row>
    <row r="34" spans="1:8" ht="31.5">
      <c r="A34" s="714"/>
      <c r="B34" s="737" t="s">
        <v>1916</v>
      </c>
      <c r="C34" s="719"/>
      <c r="D34" s="719"/>
      <c r="E34" s="742" t="s">
        <v>10</v>
      </c>
      <c r="F34" s="713">
        <v>1</v>
      </c>
      <c r="G34" s="324">
        <v>2164084</v>
      </c>
      <c r="H34" s="324">
        <f t="shared" si="0"/>
        <v>2164084</v>
      </c>
    </row>
    <row r="35" spans="1:8" ht="16.5">
      <c r="A35" s="714"/>
      <c r="B35" s="737" t="s">
        <v>1917</v>
      </c>
      <c r="C35" s="78"/>
      <c r="D35" s="78"/>
      <c r="E35" s="742" t="s">
        <v>10</v>
      </c>
      <c r="F35" s="713">
        <v>1</v>
      </c>
      <c r="G35" s="324">
        <v>3114518</v>
      </c>
      <c r="H35" s="324">
        <f t="shared" si="0"/>
        <v>3114518</v>
      </c>
    </row>
    <row r="36" spans="1:8" ht="16.5">
      <c r="A36" s="718">
        <v>6</v>
      </c>
      <c r="B36" s="740" t="s">
        <v>29</v>
      </c>
      <c r="C36" s="744"/>
      <c r="D36" s="744"/>
      <c r="E36" s="76"/>
      <c r="F36" s="713"/>
      <c r="G36" s="324"/>
      <c r="H36" s="324"/>
    </row>
    <row r="37" spans="1:8" ht="31.5">
      <c r="A37" s="714" t="s">
        <v>30</v>
      </c>
      <c r="B37" s="743" t="s">
        <v>31</v>
      </c>
      <c r="C37" s="716"/>
      <c r="D37" s="716"/>
      <c r="E37" s="745" t="s">
        <v>26</v>
      </c>
      <c r="F37" s="746">
        <v>1</v>
      </c>
      <c r="G37" s="324"/>
      <c r="H37" s="324"/>
    </row>
    <row r="38" spans="1:8" ht="47.25">
      <c r="A38" s="724"/>
      <c r="B38" s="86" t="s">
        <v>1918</v>
      </c>
      <c r="C38" s="716"/>
      <c r="D38" s="716"/>
      <c r="E38" s="88" t="s">
        <v>26</v>
      </c>
      <c r="F38" s="747">
        <v>1</v>
      </c>
      <c r="G38" s="324">
        <v>2596901</v>
      </c>
      <c r="H38" s="324">
        <f t="shared" si="0"/>
        <v>2596901</v>
      </c>
    </row>
    <row r="39" spans="1:8" ht="31.5">
      <c r="A39" s="724"/>
      <c r="B39" s="86" t="s">
        <v>1919</v>
      </c>
      <c r="C39" s="716"/>
      <c r="D39" s="716"/>
      <c r="E39" s="88" t="s">
        <v>26</v>
      </c>
      <c r="F39" s="747">
        <v>1</v>
      </c>
      <c r="G39" s="324">
        <v>1473522</v>
      </c>
      <c r="H39" s="324">
        <f t="shared" si="0"/>
        <v>1473522</v>
      </c>
    </row>
    <row r="40" spans="1:8" ht="78.75">
      <c r="A40" s="724"/>
      <c r="B40" s="86" t="s">
        <v>1920</v>
      </c>
      <c r="C40" s="716"/>
      <c r="D40" s="716"/>
      <c r="E40" s="88" t="s">
        <v>32</v>
      </c>
      <c r="F40" s="747">
        <v>4</v>
      </c>
      <c r="G40" s="324">
        <v>1947676</v>
      </c>
      <c r="H40" s="324">
        <f t="shared" si="0"/>
        <v>7790704</v>
      </c>
    </row>
    <row r="41" spans="1:8" ht="63">
      <c r="A41" s="724"/>
      <c r="B41" s="84" t="s">
        <v>1921</v>
      </c>
      <c r="C41" s="716"/>
      <c r="D41" s="716"/>
      <c r="E41" s="88" t="s">
        <v>26</v>
      </c>
      <c r="F41" s="747">
        <v>1</v>
      </c>
      <c r="G41" s="324">
        <v>8208930</v>
      </c>
      <c r="H41" s="324">
        <f t="shared" si="0"/>
        <v>8208930</v>
      </c>
    </row>
    <row r="42" spans="1:8" ht="16.5">
      <c r="A42" s="75"/>
      <c r="B42" s="717" t="s">
        <v>1922</v>
      </c>
      <c r="C42" s="321"/>
      <c r="D42" s="321"/>
      <c r="E42" s="720" t="s">
        <v>26</v>
      </c>
      <c r="F42" s="748">
        <v>1</v>
      </c>
      <c r="G42" s="324">
        <v>184190</v>
      </c>
      <c r="H42" s="324">
        <f t="shared" si="0"/>
        <v>184190</v>
      </c>
    </row>
    <row r="43" spans="1:8" ht="31.5">
      <c r="A43" s="75"/>
      <c r="B43" s="737" t="s">
        <v>1923</v>
      </c>
      <c r="C43" s="749"/>
      <c r="D43" s="749"/>
      <c r="E43" s="750" t="s">
        <v>10</v>
      </c>
      <c r="F43" s="751">
        <v>1</v>
      </c>
      <c r="G43" s="324">
        <v>779070</v>
      </c>
      <c r="H43" s="324">
        <f t="shared" si="0"/>
        <v>779070</v>
      </c>
    </row>
    <row r="44" spans="1:8" ht="31.5">
      <c r="A44" s="714" t="s">
        <v>33</v>
      </c>
      <c r="B44" s="743" t="s">
        <v>34</v>
      </c>
      <c r="C44" s="730"/>
      <c r="D44" s="730"/>
      <c r="E44" s="745" t="s">
        <v>26</v>
      </c>
      <c r="F44" s="746">
        <v>1</v>
      </c>
      <c r="G44" s="324"/>
      <c r="H44" s="324"/>
    </row>
    <row r="45" spans="1:8" ht="47.25">
      <c r="A45" s="724"/>
      <c r="B45" s="86" t="s">
        <v>1918</v>
      </c>
      <c r="C45" s="730"/>
      <c r="D45" s="730"/>
      <c r="E45" s="88" t="s">
        <v>26</v>
      </c>
      <c r="F45" s="747">
        <v>1</v>
      </c>
      <c r="G45" s="324">
        <v>2596901</v>
      </c>
      <c r="H45" s="324">
        <f t="shared" si="0"/>
        <v>2596901</v>
      </c>
    </row>
    <row r="46" spans="1:8" ht="31.5">
      <c r="A46" s="724"/>
      <c r="B46" s="86" t="s">
        <v>1919</v>
      </c>
      <c r="C46" s="730"/>
      <c r="D46" s="730"/>
      <c r="E46" s="88" t="s">
        <v>26</v>
      </c>
      <c r="F46" s="747">
        <v>1</v>
      </c>
      <c r="G46" s="324">
        <v>1473522</v>
      </c>
      <c r="H46" s="324">
        <f t="shared" si="0"/>
        <v>1473522</v>
      </c>
    </row>
    <row r="47" spans="1:8" ht="78.75">
      <c r="A47" s="724"/>
      <c r="B47" s="86" t="s">
        <v>1920</v>
      </c>
      <c r="C47" s="730"/>
      <c r="D47" s="730"/>
      <c r="E47" s="88" t="s">
        <v>32</v>
      </c>
      <c r="F47" s="747">
        <v>4</v>
      </c>
      <c r="G47" s="324">
        <v>1947676</v>
      </c>
      <c r="H47" s="324">
        <f t="shared" si="0"/>
        <v>7790704</v>
      </c>
    </row>
    <row r="48" spans="1:8" ht="63">
      <c r="A48" s="724"/>
      <c r="B48" s="84" t="s">
        <v>1921</v>
      </c>
      <c r="C48" s="752"/>
      <c r="D48" s="752"/>
      <c r="E48" s="88" t="s">
        <v>26</v>
      </c>
      <c r="F48" s="747">
        <v>1</v>
      </c>
      <c r="G48" s="324">
        <v>8208930</v>
      </c>
      <c r="H48" s="324">
        <f t="shared" si="0"/>
        <v>8208930</v>
      </c>
    </row>
    <row r="49" spans="1:8" ht="31.5">
      <c r="A49" s="75"/>
      <c r="B49" s="737" t="s">
        <v>1923</v>
      </c>
      <c r="C49" s="749"/>
      <c r="D49" s="749"/>
      <c r="E49" s="750" t="s">
        <v>10</v>
      </c>
      <c r="F49" s="751">
        <v>1</v>
      </c>
      <c r="G49" s="324">
        <v>779070</v>
      </c>
      <c r="H49" s="324">
        <f t="shared" si="0"/>
        <v>779070</v>
      </c>
    </row>
    <row r="50" spans="1:8" ht="16.5">
      <c r="A50" s="724">
        <v>7</v>
      </c>
      <c r="B50" s="737" t="s">
        <v>35</v>
      </c>
      <c r="C50" s="737"/>
      <c r="D50" s="749"/>
      <c r="E50" s="750"/>
      <c r="F50" s="751"/>
      <c r="G50" s="324"/>
      <c r="H50" s="324"/>
    </row>
    <row r="51" spans="1:8" ht="16.5">
      <c r="A51" s="724"/>
      <c r="B51" s="737" t="s">
        <v>1924</v>
      </c>
      <c r="C51" s="737"/>
      <c r="D51" s="749"/>
      <c r="E51" s="742" t="s">
        <v>10</v>
      </c>
      <c r="F51" s="713">
        <v>4</v>
      </c>
      <c r="G51" s="324">
        <v>968002</v>
      </c>
      <c r="H51" s="324">
        <f t="shared" si="0"/>
        <v>3872008</v>
      </c>
    </row>
    <row r="52" spans="1:8" ht="16.5">
      <c r="A52" s="714">
        <v>8</v>
      </c>
      <c r="B52" s="753" t="s">
        <v>36</v>
      </c>
      <c r="C52" s="719"/>
      <c r="D52" s="719"/>
      <c r="E52" s="76"/>
      <c r="F52" s="713"/>
      <c r="G52" s="324"/>
      <c r="H52" s="324"/>
    </row>
    <row r="53" spans="1:8" ht="16.5">
      <c r="A53" s="724"/>
      <c r="B53" s="737" t="s">
        <v>1925</v>
      </c>
      <c r="C53" s="78"/>
      <c r="D53" s="78"/>
      <c r="E53" s="76" t="s">
        <v>15</v>
      </c>
      <c r="F53" s="713">
        <v>1</v>
      </c>
      <c r="G53" s="324">
        <v>368381</v>
      </c>
      <c r="H53" s="324">
        <f t="shared" si="0"/>
        <v>368381</v>
      </c>
    </row>
    <row r="54" spans="1:8" ht="16.5">
      <c r="A54" s="709" t="s">
        <v>37</v>
      </c>
      <c r="B54" s="754" t="s">
        <v>305</v>
      </c>
      <c r="C54" s="709"/>
      <c r="D54" s="709"/>
      <c r="E54" s="709"/>
      <c r="F54" s="755"/>
      <c r="G54" s="325"/>
      <c r="H54" s="326">
        <f>SUM(H55:H132)</f>
        <v>197815685.59999999</v>
      </c>
    </row>
    <row r="55" spans="1:8" ht="16.5">
      <c r="A55" s="756">
        <v>1</v>
      </c>
      <c r="B55" s="712" t="s">
        <v>7</v>
      </c>
      <c r="C55" s="76"/>
      <c r="D55" s="724"/>
      <c r="E55" s="714"/>
      <c r="F55" s="714"/>
      <c r="G55" s="327"/>
      <c r="H55" s="324"/>
    </row>
    <row r="56" spans="1:8" ht="16.5">
      <c r="A56" s="714" t="s">
        <v>8</v>
      </c>
      <c r="B56" s="78" t="s">
        <v>9</v>
      </c>
      <c r="C56" s="76"/>
      <c r="D56" s="714"/>
      <c r="E56" s="714" t="s">
        <v>10</v>
      </c>
      <c r="F56" s="715">
        <v>2</v>
      </c>
      <c r="G56" s="328"/>
      <c r="H56" s="324"/>
    </row>
    <row r="57" spans="1:8" ht="16.5">
      <c r="A57" s="718"/>
      <c r="B57" s="757" t="s">
        <v>38</v>
      </c>
      <c r="C57" s="76"/>
      <c r="D57" s="652" t="s">
        <v>39</v>
      </c>
      <c r="E57" s="652" t="s">
        <v>40</v>
      </c>
      <c r="F57" s="758">
        <v>11</v>
      </c>
      <c r="G57" s="327">
        <v>25531</v>
      </c>
      <c r="H57" s="324">
        <f t="shared" ref="H57:H120" si="1">F57*G57</f>
        <v>280841</v>
      </c>
    </row>
    <row r="58" spans="1:8" ht="16.5">
      <c r="A58" s="718"/>
      <c r="B58" s="726" t="s">
        <v>41</v>
      </c>
      <c r="C58" s="76"/>
      <c r="D58" s="652" t="s">
        <v>39</v>
      </c>
      <c r="E58" s="652" t="s">
        <v>42</v>
      </c>
      <c r="F58" s="758">
        <v>6</v>
      </c>
      <c r="G58" s="327">
        <v>12158</v>
      </c>
      <c r="H58" s="324">
        <f t="shared" si="1"/>
        <v>72948</v>
      </c>
    </row>
    <row r="59" spans="1:8" ht="16.5">
      <c r="A59" s="718"/>
      <c r="B59" s="757" t="s">
        <v>43</v>
      </c>
      <c r="C59" s="76"/>
      <c r="D59" s="652" t="s">
        <v>39</v>
      </c>
      <c r="E59" s="652" t="s">
        <v>44</v>
      </c>
      <c r="F59" s="759">
        <v>5</v>
      </c>
      <c r="G59" s="327">
        <v>133736</v>
      </c>
      <c r="H59" s="324">
        <f t="shared" si="1"/>
        <v>668680</v>
      </c>
    </row>
    <row r="60" spans="1:8" ht="16.5">
      <c r="A60" s="718"/>
      <c r="B60" s="757" t="s">
        <v>45</v>
      </c>
      <c r="C60" s="76"/>
      <c r="D60" s="652" t="s">
        <v>39</v>
      </c>
      <c r="E60" s="652" t="s">
        <v>46</v>
      </c>
      <c r="F60" s="758">
        <v>10</v>
      </c>
      <c r="G60" s="327">
        <v>14589</v>
      </c>
      <c r="H60" s="324">
        <f t="shared" si="1"/>
        <v>145890</v>
      </c>
    </row>
    <row r="61" spans="1:8" ht="16.5">
      <c r="A61" s="718"/>
      <c r="B61" s="757" t="s">
        <v>47</v>
      </c>
      <c r="C61" s="76"/>
      <c r="D61" s="652" t="s">
        <v>48</v>
      </c>
      <c r="E61" s="652" t="s">
        <v>40</v>
      </c>
      <c r="F61" s="758">
        <v>6</v>
      </c>
      <c r="G61" s="327">
        <v>109420</v>
      </c>
      <c r="H61" s="324">
        <f t="shared" si="1"/>
        <v>656520</v>
      </c>
    </row>
    <row r="62" spans="1:8" ht="16.5">
      <c r="A62" s="718"/>
      <c r="B62" s="757" t="s">
        <v>49</v>
      </c>
      <c r="C62" s="76"/>
      <c r="D62" s="652" t="s">
        <v>39</v>
      </c>
      <c r="E62" s="760" t="s">
        <v>10</v>
      </c>
      <c r="F62" s="761">
        <v>1</v>
      </c>
      <c r="G62" s="327">
        <v>12158</v>
      </c>
      <c r="H62" s="324">
        <f t="shared" si="1"/>
        <v>12158</v>
      </c>
    </row>
    <row r="63" spans="1:8" ht="16.5">
      <c r="A63" s="718"/>
      <c r="B63" s="762" t="s">
        <v>50</v>
      </c>
      <c r="C63" s="76"/>
      <c r="D63" s="714" t="s">
        <v>48</v>
      </c>
      <c r="E63" s="714" t="s">
        <v>10</v>
      </c>
      <c r="F63" s="763">
        <v>4</v>
      </c>
      <c r="G63" s="327">
        <v>547100</v>
      </c>
      <c r="H63" s="324">
        <f t="shared" si="1"/>
        <v>2188400</v>
      </c>
    </row>
    <row r="64" spans="1:8" ht="16.5">
      <c r="A64" s="718">
        <v>2</v>
      </c>
      <c r="B64" s="719" t="s">
        <v>11</v>
      </c>
      <c r="C64" s="764"/>
      <c r="D64" s="714"/>
      <c r="E64" s="714"/>
      <c r="F64" s="715"/>
      <c r="G64" s="328"/>
      <c r="H64" s="324"/>
    </row>
    <row r="65" spans="1:8" ht="16.5">
      <c r="A65" s="714" t="s">
        <v>51</v>
      </c>
      <c r="B65" s="722" t="s">
        <v>12</v>
      </c>
      <c r="C65" s="764"/>
      <c r="D65" s="714"/>
      <c r="E65" s="714"/>
      <c r="F65" s="715"/>
      <c r="G65" s="328"/>
      <c r="H65" s="324"/>
    </row>
    <row r="66" spans="1:8" ht="16.5">
      <c r="A66" s="718"/>
      <c r="B66" s="765" t="s">
        <v>52</v>
      </c>
      <c r="C66" s="764"/>
      <c r="D66" s="76" t="s">
        <v>39</v>
      </c>
      <c r="E66" s="652" t="s">
        <v>53</v>
      </c>
      <c r="F66" s="766">
        <v>3</v>
      </c>
      <c r="G66" s="328">
        <v>24316</v>
      </c>
      <c r="H66" s="324">
        <f t="shared" si="1"/>
        <v>72948</v>
      </c>
    </row>
    <row r="67" spans="1:8" ht="16.5">
      <c r="A67" s="718"/>
      <c r="B67" s="730" t="s">
        <v>54</v>
      </c>
      <c r="C67" s="764"/>
      <c r="D67" s="76" t="s">
        <v>39</v>
      </c>
      <c r="E67" s="745" t="s">
        <v>44</v>
      </c>
      <c r="F67" s="767">
        <v>1</v>
      </c>
      <c r="G67" s="328">
        <v>109420</v>
      </c>
      <c r="H67" s="324">
        <f t="shared" si="1"/>
        <v>109420</v>
      </c>
    </row>
    <row r="68" spans="1:8" ht="16.5">
      <c r="A68" s="718"/>
      <c r="B68" s="730" t="s">
        <v>55</v>
      </c>
      <c r="C68" s="764"/>
      <c r="D68" s="76" t="s">
        <v>39</v>
      </c>
      <c r="E68" s="745" t="s">
        <v>44</v>
      </c>
      <c r="F68" s="767">
        <v>1</v>
      </c>
      <c r="G68" s="328">
        <v>12158</v>
      </c>
      <c r="H68" s="324">
        <f t="shared" si="1"/>
        <v>12158</v>
      </c>
    </row>
    <row r="69" spans="1:8" ht="16.5">
      <c r="A69" s="718"/>
      <c r="B69" s="730" t="s">
        <v>56</v>
      </c>
      <c r="C69" s="764"/>
      <c r="D69" s="76" t="s">
        <v>39</v>
      </c>
      <c r="E69" s="724" t="s">
        <v>57</v>
      </c>
      <c r="F69" s="767">
        <v>1</v>
      </c>
      <c r="G69" s="328">
        <v>24316</v>
      </c>
      <c r="H69" s="324">
        <f t="shared" si="1"/>
        <v>24316</v>
      </c>
    </row>
    <row r="70" spans="1:8" ht="16.5">
      <c r="A70" s="718">
        <v>3</v>
      </c>
      <c r="B70" s="719" t="s">
        <v>14</v>
      </c>
      <c r="C70" s="76"/>
      <c r="D70" s="714"/>
      <c r="E70" s="714" t="s">
        <v>15</v>
      </c>
      <c r="F70" s="715">
        <v>2</v>
      </c>
      <c r="G70" s="328"/>
      <c r="H70" s="324"/>
    </row>
    <row r="71" spans="1:8" ht="16.5">
      <c r="A71" s="714" t="s">
        <v>16</v>
      </c>
      <c r="B71" s="725" t="s">
        <v>17</v>
      </c>
      <c r="C71" s="76"/>
      <c r="D71" s="714"/>
      <c r="E71" s="714" t="s">
        <v>10</v>
      </c>
      <c r="F71" s="715">
        <v>1</v>
      </c>
      <c r="G71" s="328"/>
      <c r="H71" s="324"/>
    </row>
    <row r="72" spans="1:8" ht="16.5">
      <c r="A72" s="718"/>
      <c r="B72" s="768" t="s">
        <v>55</v>
      </c>
      <c r="C72" s="76"/>
      <c r="D72" s="769" t="s">
        <v>39</v>
      </c>
      <c r="E72" s="770" t="s">
        <v>44</v>
      </c>
      <c r="F72" s="771">
        <v>5</v>
      </c>
      <c r="G72" s="327">
        <v>12158</v>
      </c>
      <c r="H72" s="324">
        <f t="shared" si="1"/>
        <v>60790</v>
      </c>
    </row>
    <row r="73" spans="1:8" ht="16.5">
      <c r="A73" s="718"/>
      <c r="B73" s="768" t="s">
        <v>58</v>
      </c>
      <c r="C73" s="76"/>
      <c r="D73" s="769" t="s">
        <v>39</v>
      </c>
      <c r="E73" s="770" t="s">
        <v>59</v>
      </c>
      <c r="F73" s="771">
        <v>10</v>
      </c>
      <c r="G73" s="327">
        <v>63220</v>
      </c>
      <c r="H73" s="324">
        <f t="shared" si="1"/>
        <v>632200</v>
      </c>
    </row>
    <row r="74" spans="1:8" ht="16.5">
      <c r="A74" s="718"/>
      <c r="B74" s="768" t="s">
        <v>60</v>
      </c>
      <c r="C74" s="76"/>
      <c r="D74" s="769" t="s">
        <v>39</v>
      </c>
      <c r="E74" s="770" t="s">
        <v>44</v>
      </c>
      <c r="F74" s="771">
        <v>20</v>
      </c>
      <c r="G74" s="327">
        <v>38905</v>
      </c>
      <c r="H74" s="324">
        <f t="shared" si="1"/>
        <v>778100</v>
      </c>
    </row>
    <row r="75" spans="1:8" ht="16.5">
      <c r="A75" s="718"/>
      <c r="B75" s="768" t="s">
        <v>61</v>
      </c>
      <c r="C75" s="76"/>
      <c r="D75" s="769" t="s">
        <v>39</v>
      </c>
      <c r="E75" s="770" t="s">
        <v>44</v>
      </c>
      <c r="F75" s="771">
        <v>5</v>
      </c>
      <c r="G75" s="327">
        <v>109420</v>
      </c>
      <c r="H75" s="324">
        <f t="shared" si="1"/>
        <v>547100</v>
      </c>
    </row>
    <row r="76" spans="1:8" ht="16.5">
      <c r="A76" s="718"/>
      <c r="B76" s="768" t="s">
        <v>62</v>
      </c>
      <c r="C76" s="76"/>
      <c r="D76" s="769" t="s">
        <v>39</v>
      </c>
      <c r="E76" s="770" t="s">
        <v>63</v>
      </c>
      <c r="F76" s="771">
        <v>5</v>
      </c>
      <c r="G76" s="327">
        <v>54710</v>
      </c>
      <c r="H76" s="324">
        <f t="shared" si="1"/>
        <v>273550</v>
      </c>
    </row>
    <row r="77" spans="1:8" ht="16.5">
      <c r="A77" s="714" t="s">
        <v>18</v>
      </c>
      <c r="B77" s="725" t="s">
        <v>19</v>
      </c>
      <c r="C77" s="78"/>
      <c r="D77" s="714"/>
      <c r="E77" s="714" t="s">
        <v>15</v>
      </c>
      <c r="F77" s="715">
        <v>1</v>
      </c>
      <c r="G77" s="328"/>
      <c r="H77" s="324"/>
    </row>
    <row r="78" spans="1:8" ht="16.5">
      <c r="A78" s="714"/>
      <c r="B78" s="768" t="s">
        <v>55</v>
      </c>
      <c r="C78" s="76"/>
      <c r="D78" s="769" t="s">
        <v>39</v>
      </c>
      <c r="E78" s="770" t="s">
        <v>44</v>
      </c>
      <c r="F78" s="771">
        <v>5</v>
      </c>
      <c r="G78" s="327">
        <v>12158</v>
      </c>
      <c r="H78" s="324">
        <f t="shared" si="1"/>
        <v>60790</v>
      </c>
    </row>
    <row r="79" spans="1:8" ht="16.5">
      <c r="A79" s="714"/>
      <c r="B79" s="768" t="s">
        <v>58</v>
      </c>
      <c r="C79" s="76"/>
      <c r="D79" s="769" t="s">
        <v>39</v>
      </c>
      <c r="E79" s="770" t="s">
        <v>59</v>
      </c>
      <c r="F79" s="771">
        <v>2</v>
      </c>
      <c r="G79" s="327">
        <v>63220</v>
      </c>
      <c r="H79" s="324">
        <f t="shared" si="1"/>
        <v>126440</v>
      </c>
    </row>
    <row r="80" spans="1:8" ht="16.5">
      <c r="A80" s="714"/>
      <c r="B80" s="768" t="s">
        <v>60</v>
      </c>
      <c r="C80" s="772"/>
      <c r="D80" s="769" t="s">
        <v>39</v>
      </c>
      <c r="E80" s="770" t="s">
        <v>44</v>
      </c>
      <c r="F80" s="771">
        <v>4</v>
      </c>
      <c r="G80" s="327">
        <v>38905</v>
      </c>
      <c r="H80" s="324">
        <f t="shared" si="1"/>
        <v>155620</v>
      </c>
    </row>
    <row r="81" spans="1:8" ht="16.5">
      <c r="A81" s="714"/>
      <c r="B81" s="768" t="s">
        <v>62</v>
      </c>
      <c r="C81" s="772"/>
      <c r="D81" s="769" t="s">
        <v>39</v>
      </c>
      <c r="E81" s="770" t="s">
        <v>63</v>
      </c>
      <c r="F81" s="771">
        <v>5</v>
      </c>
      <c r="G81" s="327">
        <v>54710</v>
      </c>
      <c r="H81" s="324">
        <f t="shared" si="1"/>
        <v>273550</v>
      </c>
    </row>
    <row r="82" spans="1:8" ht="16.5">
      <c r="A82" s="718">
        <v>4</v>
      </c>
      <c r="B82" s="749" t="s">
        <v>20</v>
      </c>
      <c r="C82" s="772"/>
      <c r="D82" s="769"/>
      <c r="E82" s="714" t="s">
        <v>15</v>
      </c>
      <c r="F82" s="715">
        <v>2</v>
      </c>
      <c r="G82" s="327"/>
      <c r="H82" s="324"/>
    </row>
    <row r="83" spans="1:8" ht="16.5">
      <c r="A83" s="714" t="s">
        <v>21</v>
      </c>
      <c r="B83" s="735" t="s">
        <v>22</v>
      </c>
      <c r="C83" s="772"/>
      <c r="D83" s="769"/>
      <c r="E83" s="714" t="s">
        <v>15</v>
      </c>
      <c r="F83" s="715">
        <v>1</v>
      </c>
      <c r="G83" s="327"/>
      <c r="H83" s="324"/>
    </row>
    <row r="84" spans="1:8" ht="16.5">
      <c r="A84" s="714"/>
      <c r="B84" s="726" t="s">
        <v>55</v>
      </c>
      <c r="C84" s="76"/>
      <c r="D84" s="769" t="s">
        <v>39</v>
      </c>
      <c r="E84" s="714" t="s">
        <v>44</v>
      </c>
      <c r="F84" s="715">
        <v>4</v>
      </c>
      <c r="G84" s="327">
        <v>12158</v>
      </c>
      <c r="H84" s="324">
        <f t="shared" si="1"/>
        <v>48632</v>
      </c>
    </row>
    <row r="85" spans="1:8" ht="16.5">
      <c r="A85" s="718"/>
      <c r="B85" s="726" t="s">
        <v>41</v>
      </c>
      <c r="C85" s="76"/>
      <c r="D85" s="769" t="s">
        <v>39</v>
      </c>
      <c r="E85" s="714" t="s">
        <v>42</v>
      </c>
      <c r="F85" s="715">
        <v>8</v>
      </c>
      <c r="G85" s="327">
        <v>12158</v>
      </c>
      <c r="H85" s="324">
        <f t="shared" si="1"/>
        <v>97264</v>
      </c>
    </row>
    <row r="86" spans="1:8" ht="16.5">
      <c r="A86" s="718"/>
      <c r="B86" s="753" t="s">
        <v>61</v>
      </c>
      <c r="C86" s="76"/>
      <c r="D86" s="773" t="s">
        <v>48</v>
      </c>
      <c r="E86" s="745" t="s">
        <v>44</v>
      </c>
      <c r="F86" s="746">
        <v>2</v>
      </c>
      <c r="G86" s="327">
        <v>109420</v>
      </c>
      <c r="H86" s="324">
        <f t="shared" si="1"/>
        <v>218840</v>
      </c>
    </row>
    <row r="87" spans="1:8" ht="16.5">
      <c r="A87" s="718"/>
      <c r="B87" s="753" t="s">
        <v>64</v>
      </c>
      <c r="C87" s="772"/>
      <c r="D87" s="769" t="s">
        <v>39</v>
      </c>
      <c r="E87" s="745" t="s">
        <v>40</v>
      </c>
      <c r="F87" s="746">
        <v>3</v>
      </c>
      <c r="G87" s="327">
        <v>24316</v>
      </c>
      <c r="H87" s="324">
        <f t="shared" si="1"/>
        <v>72948</v>
      </c>
    </row>
    <row r="88" spans="1:8" ht="16.5">
      <c r="A88" s="718">
        <v>5</v>
      </c>
      <c r="B88" s="740" t="s">
        <v>23</v>
      </c>
      <c r="C88" s="772"/>
      <c r="D88" s="769"/>
      <c r="E88" s="745" t="s">
        <v>26</v>
      </c>
      <c r="F88" s="746">
        <v>2</v>
      </c>
      <c r="G88" s="327"/>
      <c r="H88" s="324"/>
    </row>
    <row r="89" spans="1:8" ht="31.5">
      <c r="A89" s="714" t="s">
        <v>24</v>
      </c>
      <c r="B89" s="743" t="s">
        <v>25</v>
      </c>
      <c r="C89" s="76"/>
      <c r="D89" s="769"/>
      <c r="E89" s="745"/>
      <c r="F89" s="746"/>
      <c r="G89" s="327"/>
      <c r="H89" s="324"/>
    </row>
    <row r="90" spans="1:8" ht="16.5">
      <c r="A90" s="714"/>
      <c r="B90" s="78" t="s">
        <v>64</v>
      </c>
      <c r="C90" s="772"/>
      <c r="D90" s="769" t="s">
        <v>39</v>
      </c>
      <c r="E90" s="76" t="s">
        <v>65</v>
      </c>
      <c r="F90" s="761">
        <v>10</v>
      </c>
      <c r="G90" s="327">
        <v>24316</v>
      </c>
      <c r="H90" s="324">
        <f t="shared" si="1"/>
        <v>243160</v>
      </c>
    </row>
    <row r="91" spans="1:8" ht="16.5">
      <c r="A91" s="714"/>
      <c r="B91" s="321" t="s">
        <v>55</v>
      </c>
      <c r="C91" s="772"/>
      <c r="D91" s="769" t="s">
        <v>39</v>
      </c>
      <c r="E91" s="76" t="s">
        <v>44</v>
      </c>
      <c r="F91" s="761">
        <v>5</v>
      </c>
      <c r="G91" s="327">
        <v>12158</v>
      </c>
      <c r="H91" s="324">
        <f t="shared" si="1"/>
        <v>60790</v>
      </c>
    </row>
    <row r="92" spans="1:8" ht="16.5">
      <c r="A92" s="714"/>
      <c r="B92" s="321" t="s">
        <v>66</v>
      </c>
      <c r="C92" s="774"/>
      <c r="D92" s="769" t="s">
        <v>39</v>
      </c>
      <c r="E92" s="76" t="s">
        <v>44</v>
      </c>
      <c r="F92" s="761">
        <v>0.5</v>
      </c>
      <c r="G92" s="327">
        <v>57142</v>
      </c>
      <c r="H92" s="324">
        <f t="shared" si="1"/>
        <v>28571</v>
      </c>
    </row>
    <row r="93" spans="1:8" ht="16.5">
      <c r="A93" s="714"/>
      <c r="B93" s="321" t="s">
        <v>67</v>
      </c>
      <c r="C93" s="774"/>
      <c r="D93" s="769" t="s">
        <v>48</v>
      </c>
      <c r="E93" s="76" t="s">
        <v>32</v>
      </c>
      <c r="F93" s="761">
        <v>1</v>
      </c>
      <c r="G93" s="329">
        <v>18236664</v>
      </c>
      <c r="H93" s="330">
        <f t="shared" si="1"/>
        <v>18236664</v>
      </c>
    </row>
    <row r="94" spans="1:8" ht="16.5">
      <c r="A94" s="714"/>
      <c r="B94" s="321" t="s">
        <v>68</v>
      </c>
      <c r="C94" s="772"/>
      <c r="D94" s="769" t="s">
        <v>48</v>
      </c>
      <c r="E94" s="76" t="s">
        <v>10</v>
      </c>
      <c r="F94" s="761">
        <v>1</v>
      </c>
      <c r="G94" s="329">
        <v>12157776</v>
      </c>
      <c r="H94" s="330">
        <f t="shared" si="1"/>
        <v>12157776</v>
      </c>
    </row>
    <row r="95" spans="1:8" ht="31.5">
      <c r="A95" s="714" t="s">
        <v>27</v>
      </c>
      <c r="B95" s="743" t="s">
        <v>28</v>
      </c>
      <c r="C95" s="772"/>
      <c r="D95" s="769"/>
      <c r="E95" s="76"/>
      <c r="F95" s="761"/>
      <c r="G95" s="327"/>
      <c r="H95" s="324"/>
    </row>
    <row r="96" spans="1:8" ht="16.5">
      <c r="A96" s="714"/>
      <c r="B96" s="78" t="s">
        <v>64</v>
      </c>
      <c r="C96" s="772"/>
      <c r="D96" s="769" t="s">
        <v>39</v>
      </c>
      <c r="E96" s="76" t="s">
        <v>65</v>
      </c>
      <c r="F96" s="761">
        <v>10</v>
      </c>
      <c r="G96" s="327">
        <v>24316</v>
      </c>
      <c r="H96" s="324">
        <f t="shared" si="1"/>
        <v>243160</v>
      </c>
    </row>
    <row r="97" spans="1:8" ht="16.5">
      <c r="A97" s="714"/>
      <c r="B97" s="321" t="s">
        <v>55</v>
      </c>
      <c r="C97" s="772"/>
      <c r="D97" s="769" t="s">
        <v>39</v>
      </c>
      <c r="E97" s="76" t="s">
        <v>44</v>
      </c>
      <c r="F97" s="761">
        <v>5</v>
      </c>
      <c r="G97" s="327">
        <v>12158</v>
      </c>
      <c r="H97" s="324">
        <f t="shared" si="1"/>
        <v>60790</v>
      </c>
    </row>
    <row r="98" spans="1:8" ht="16.5">
      <c r="A98" s="714"/>
      <c r="B98" s="321" t="s">
        <v>66</v>
      </c>
      <c r="C98" s="772"/>
      <c r="D98" s="769" t="s">
        <v>39</v>
      </c>
      <c r="E98" s="76" t="s">
        <v>44</v>
      </c>
      <c r="F98" s="761">
        <v>0.5</v>
      </c>
      <c r="G98" s="327">
        <v>57142</v>
      </c>
      <c r="H98" s="324">
        <f t="shared" si="1"/>
        <v>28571</v>
      </c>
    </row>
    <row r="99" spans="1:8" ht="16.5">
      <c r="A99" s="714"/>
      <c r="B99" s="321" t="s">
        <v>67</v>
      </c>
      <c r="C99" s="774"/>
      <c r="D99" s="769" t="s">
        <v>48</v>
      </c>
      <c r="E99" s="76" t="s">
        <v>32</v>
      </c>
      <c r="F99" s="761">
        <v>1</v>
      </c>
      <c r="G99" s="329">
        <v>18236664</v>
      </c>
      <c r="H99" s="330">
        <f t="shared" si="1"/>
        <v>18236664</v>
      </c>
    </row>
    <row r="100" spans="1:8" ht="16.5">
      <c r="A100" s="718">
        <v>6</v>
      </c>
      <c r="B100" s="740" t="s">
        <v>29</v>
      </c>
      <c r="C100" s="769"/>
      <c r="D100" s="769"/>
      <c r="E100" s="745"/>
      <c r="F100" s="746"/>
      <c r="G100" s="327"/>
      <c r="H100" s="324"/>
    </row>
    <row r="101" spans="1:8" ht="31.5">
      <c r="A101" s="714" t="s">
        <v>30</v>
      </c>
      <c r="B101" s="743" t="s">
        <v>31</v>
      </c>
      <c r="C101" s="76"/>
      <c r="D101" s="769"/>
      <c r="E101" s="745" t="s">
        <v>26</v>
      </c>
      <c r="F101" s="746">
        <v>1</v>
      </c>
      <c r="G101" s="327"/>
      <c r="H101" s="324"/>
    </row>
    <row r="102" spans="1:8" ht="16.5">
      <c r="A102" s="718"/>
      <c r="B102" s="757" t="s">
        <v>38</v>
      </c>
      <c r="C102" s="76"/>
      <c r="D102" s="652" t="s">
        <v>39</v>
      </c>
      <c r="E102" s="652" t="s">
        <v>40</v>
      </c>
      <c r="F102" s="758">
        <v>11</v>
      </c>
      <c r="G102" s="327">
        <v>25531</v>
      </c>
      <c r="H102" s="324">
        <f t="shared" si="1"/>
        <v>280841</v>
      </c>
    </row>
    <row r="103" spans="1:8" ht="16.5">
      <c r="A103" s="718"/>
      <c r="B103" s="762" t="s">
        <v>55</v>
      </c>
      <c r="C103" s="76"/>
      <c r="D103" s="88" t="s">
        <v>39</v>
      </c>
      <c r="E103" s="745" t="s">
        <v>44</v>
      </c>
      <c r="F103" s="767">
        <v>1</v>
      </c>
      <c r="G103" s="327">
        <v>12158</v>
      </c>
      <c r="H103" s="324">
        <f t="shared" si="1"/>
        <v>12158</v>
      </c>
    </row>
    <row r="104" spans="1:8" ht="16.5">
      <c r="A104" s="718"/>
      <c r="B104" s="762" t="s">
        <v>64</v>
      </c>
      <c r="C104" s="76"/>
      <c r="D104" s="769" t="s">
        <v>39</v>
      </c>
      <c r="E104" s="745" t="s">
        <v>40</v>
      </c>
      <c r="F104" s="746">
        <v>0.8</v>
      </c>
      <c r="G104" s="327">
        <v>24316</v>
      </c>
      <c r="H104" s="324">
        <f t="shared" si="1"/>
        <v>19452.8</v>
      </c>
    </row>
    <row r="105" spans="1:8" ht="16.5">
      <c r="A105" s="718"/>
      <c r="B105" s="762" t="s">
        <v>61</v>
      </c>
      <c r="C105" s="76"/>
      <c r="D105" s="773" t="s">
        <v>48</v>
      </c>
      <c r="E105" s="745" t="s">
        <v>44</v>
      </c>
      <c r="F105" s="746">
        <v>0.5</v>
      </c>
      <c r="G105" s="327">
        <v>109420</v>
      </c>
      <c r="H105" s="324">
        <f t="shared" si="1"/>
        <v>54710</v>
      </c>
    </row>
    <row r="106" spans="1:8" ht="16.5">
      <c r="A106" s="718"/>
      <c r="B106" s="730" t="s">
        <v>69</v>
      </c>
      <c r="C106" s="769"/>
      <c r="D106" s="714" t="s">
        <v>48</v>
      </c>
      <c r="E106" s="76" t="s">
        <v>40</v>
      </c>
      <c r="F106" s="775">
        <v>8</v>
      </c>
      <c r="G106" s="329">
        <v>356628</v>
      </c>
      <c r="H106" s="330">
        <f t="shared" si="1"/>
        <v>2853024</v>
      </c>
    </row>
    <row r="107" spans="1:8" ht="16.5">
      <c r="A107" s="718"/>
      <c r="B107" s="730" t="s">
        <v>70</v>
      </c>
      <c r="C107" s="76"/>
      <c r="D107" s="714" t="s">
        <v>48</v>
      </c>
      <c r="E107" s="714" t="s">
        <v>10</v>
      </c>
      <c r="F107" s="775">
        <v>1</v>
      </c>
      <c r="G107" s="329">
        <v>16430018</v>
      </c>
      <c r="H107" s="330">
        <f t="shared" si="1"/>
        <v>16430018</v>
      </c>
    </row>
    <row r="108" spans="1:8" ht="16.5">
      <c r="A108" s="718"/>
      <c r="B108" s="730" t="s">
        <v>71</v>
      </c>
      <c r="C108" s="76"/>
      <c r="D108" s="776" t="s">
        <v>48</v>
      </c>
      <c r="E108" s="76" t="s">
        <v>32</v>
      </c>
      <c r="F108" s="775">
        <v>4</v>
      </c>
      <c r="G108" s="329">
        <v>6243468</v>
      </c>
      <c r="H108" s="330">
        <f t="shared" si="1"/>
        <v>24973872</v>
      </c>
    </row>
    <row r="109" spans="1:8" ht="16.5">
      <c r="A109" s="718"/>
      <c r="B109" s="730" t="s">
        <v>72</v>
      </c>
      <c r="C109" s="76"/>
      <c r="D109" s="776" t="s">
        <v>48</v>
      </c>
      <c r="E109" s="76" t="s">
        <v>10</v>
      </c>
      <c r="F109" s="775">
        <v>1</v>
      </c>
      <c r="G109" s="329">
        <v>14859234</v>
      </c>
      <c r="H109" s="330">
        <f t="shared" si="1"/>
        <v>14859234</v>
      </c>
    </row>
    <row r="110" spans="1:8" ht="16.5">
      <c r="A110" s="718"/>
      <c r="B110" s="730" t="s">
        <v>73</v>
      </c>
      <c r="C110" s="75"/>
      <c r="D110" s="776" t="s">
        <v>48</v>
      </c>
      <c r="E110" s="76" t="s">
        <v>10</v>
      </c>
      <c r="F110" s="775">
        <v>1</v>
      </c>
      <c r="G110" s="329">
        <v>5943937</v>
      </c>
      <c r="H110" s="330">
        <f t="shared" si="1"/>
        <v>5943937</v>
      </c>
    </row>
    <row r="111" spans="1:8" ht="16.5">
      <c r="A111" s="718"/>
      <c r="B111" s="730" t="s">
        <v>74</v>
      </c>
      <c r="C111" s="76"/>
      <c r="D111" s="776" t="s">
        <v>48</v>
      </c>
      <c r="E111" s="76" t="s">
        <v>10</v>
      </c>
      <c r="F111" s="775">
        <v>8</v>
      </c>
      <c r="G111" s="329">
        <v>357439</v>
      </c>
      <c r="H111" s="330">
        <f t="shared" si="1"/>
        <v>2859512</v>
      </c>
    </row>
    <row r="112" spans="1:8" ht="16.5">
      <c r="A112" s="718"/>
      <c r="B112" s="730" t="s">
        <v>75</v>
      </c>
      <c r="C112" s="76"/>
      <c r="D112" s="776" t="s">
        <v>48</v>
      </c>
      <c r="E112" s="76" t="s">
        <v>10</v>
      </c>
      <c r="F112" s="775">
        <v>8</v>
      </c>
      <c r="G112" s="329">
        <v>381754</v>
      </c>
      <c r="H112" s="330">
        <f t="shared" si="1"/>
        <v>3054032</v>
      </c>
    </row>
    <row r="113" spans="1:8" ht="31.5">
      <c r="A113" s="714" t="s">
        <v>33</v>
      </c>
      <c r="B113" s="743" t="s">
        <v>76</v>
      </c>
      <c r="C113" s="76"/>
      <c r="D113" s="769"/>
      <c r="E113" s="745" t="s">
        <v>26</v>
      </c>
      <c r="F113" s="746">
        <v>1</v>
      </c>
      <c r="G113" s="327"/>
      <c r="H113" s="324"/>
    </row>
    <row r="114" spans="1:8" ht="16.5">
      <c r="A114" s="718"/>
      <c r="B114" s="757" t="s">
        <v>38</v>
      </c>
      <c r="C114" s="76"/>
      <c r="D114" s="652" t="s">
        <v>39</v>
      </c>
      <c r="E114" s="652" t="s">
        <v>40</v>
      </c>
      <c r="F114" s="758">
        <v>11</v>
      </c>
      <c r="G114" s="327">
        <v>25531</v>
      </c>
      <c r="H114" s="324">
        <f t="shared" si="1"/>
        <v>280841</v>
      </c>
    </row>
    <row r="115" spans="1:8" ht="16.5">
      <c r="A115" s="718"/>
      <c r="B115" s="762" t="s">
        <v>55</v>
      </c>
      <c r="C115" s="76"/>
      <c r="D115" s="88" t="s">
        <v>39</v>
      </c>
      <c r="E115" s="745" t="s">
        <v>44</v>
      </c>
      <c r="F115" s="767">
        <v>1</v>
      </c>
      <c r="G115" s="327">
        <v>12158</v>
      </c>
      <c r="H115" s="324">
        <f t="shared" si="1"/>
        <v>12158</v>
      </c>
    </row>
    <row r="116" spans="1:8" ht="16.5">
      <c r="A116" s="718"/>
      <c r="B116" s="762" t="s">
        <v>64</v>
      </c>
      <c r="C116" s="75"/>
      <c r="D116" s="769" t="s">
        <v>39</v>
      </c>
      <c r="E116" s="745" t="s">
        <v>40</v>
      </c>
      <c r="F116" s="746">
        <v>0.8</v>
      </c>
      <c r="G116" s="327">
        <v>24316</v>
      </c>
      <c r="H116" s="324">
        <f t="shared" si="1"/>
        <v>19452.8</v>
      </c>
    </row>
    <row r="117" spans="1:8" ht="16.5">
      <c r="A117" s="718"/>
      <c r="B117" s="762" t="s">
        <v>61</v>
      </c>
      <c r="C117" s="76"/>
      <c r="D117" s="773" t="s">
        <v>48</v>
      </c>
      <c r="E117" s="745" t="s">
        <v>44</v>
      </c>
      <c r="F117" s="746">
        <v>0.5</v>
      </c>
      <c r="G117" s="327">
        <v>109420</v>
      </c>
      <c r="H117" s="324">
        <f t="shared" si="1"/>
        <v>54710</v>
      </c>
    </row>
    <row r="118" spans="1:8" ht="16.5">
      <c r="A118" s="718"/>
      <c r="B118" s="730" t="s">
        <v>70</v>
      </c>
      <c r="C118" s="76"/>
      <c r="D118" s="714" t="s">
        <v>48</v>
      </c>
      <c r="E118" s="714" t="s">
        <v>10</v>
      </c>
      <c r="F118" s="775">
        <v>1</v>
      </c>
      <c r="G118" s="329">
        <v>16430018</v>
      </c>
      <c r="H118" s="330">
        <f t="shared" si="1"/>
        <v>16430018</v>
      </c>
    </row>
    <row r="119" spans="1:8" ht="16.5">
      <c r="A119" s="718"/>
      <c r="B119" s="730" t="s">
        <v>71</v>
      </c>
      <c r="C119" s="76"/>
      <c r="D119" s="776" t="s">
        <v>48</v>
      </c>
      <c r="E119" s="76" t="s">
        <v>32</v>
      </c>
      <c r="F119" s="775">
        <v>4</v>
      </c>
      <c r="G119" s="329">
        <v>6243468</v>
      </c>
      <c r="H119" s="330">
        <f t="shared" si="1"/>
        <v>24973872</v>
      </c>
    </row>
    <row r="120" spans="1:8" ht="16.5">
      <c r="A120" s="718"/>
      <c r="B120" s="730" t="s">
        <v>72</v>
      </c>
      <c r="C120" s="76"/>
      <c r="D120" s="776" t="s">
        <v>48</v>
      </c>
      <c r="E120" s="76" t="s">
        <v>10</v>
      </c>
      <c r="F120" s="775">
        <v>1</v>
      </c>
      <c r="G120" s="329">
        <v>14859234</v>
      </c>
      <c r="H120" s="330">
        <f t="shared" si="1"/>
        <v>14859234</v>
      </c>
    </row>
    <row r="121" spans="1:8" ht="16.5">
      <c r="A121" s="718"/>
      <c r="B121" s="730" t="s">
        <v>73</v>
      </c>
      <c r="C121" s="76"/>
      <c r="D121" s="776" t="s">
        <v>48</v>
      </c>
      <c r="E121" s="76" t="s">
        <v>10</v>
      </c>
      <c r="F121" s="775">
        <v>1</v>
      </c>
      <c r="G121" s="329">
        <v>5943937</v>
      </c>
      <c r="H121" s="330">
        <f t="shared" ref="H121:H132" si="2">F121*G121</f>
        <v>5943937</v>
      </c>
    </row>
    <row r="122" spans="1:8" ht="16.5">
      <c r="A122" s="718"/>
      <c r="B122" s="730" t="s">
        <v>74</v>
      </c>
      <c r="C122" s="76"/>
      <c r="D122" s="776" t="s">
        <v>48</v>
      </c>
      <c r="E122" s="76" t="s">
        <v>10</v>
      </c>
      <c r="F122" s="775">
        <v>8</v>
      </c>
      <c r="G122" s="329">
        <v>357439</v>
      </c>
      <c r="H122" s="330">
        <f t="shared" si="2"/>
        <v>2859512</v>
      </c>
    </row>
    <row r="123" spans="1:8" ht="16.5">
      <c r="A123" s="718"/>
      <c r="B123" s="730" t="s">
        <v>75</v>
      </c>
      <c r="C123" s="75"/>
      <c r="D123" s="776" t="s">
        <v>48</v>
      </c>
      <c r="E123" s="76" t="s">
        <v>10</v>
      </c>
      <c r="F123" s="775">
        <v>8</v>
      </c>
      <c r="G123" s="329">
        <v>381754</v>
      </c>
      <c r="H123" s="330">
        <f t="shared" si="2"/>
        <v>3054032</v>
      </c>
    </row>
    <row r="124" spans="1:8" ht="16.5">
      <c r="A124" s="714">
        <v>7</v>
      </c>
      <c r="B124" s="730" t="s">
        <v>35</v>
      </c>
      <c r="C124" s="75"/>
      <c r="D124" s="776"/>
      <c r="E124" s="76"/>
      <c r="F124" s="775"/>
      <c r="G124" s="327"/>
      <c r="H124" s="324"/>
    </row>
    <row r="125" spans="1:8" ht="16.5">
      <c r="A125" s="718"/>
      <c r="B125" s="730" t="s">
        <v>55</v>
      </c>
      <c r="C125" s="75"/>
      <c r="D125" s="776" t="s">
        <v>39</v>
      </c>
      <c r="E125" s="76" t="s">
        <v>44</v>
      </c>
      <c r="F125" s="775">
        <v>2</v>
      </c>
      <c r="G125" s="327">
        <v>12158</v>
      </c>
      <c r="H125" s="324">
        <f t="shared" si="2"/>
        <v>24316</v>
      </c>
    </row>
    <row r="126" spans="1:8" ht="16.5">
      <c r="A126" s="718"/>
      <c r="B126" s="730" t="s">
        <v>77</v>
      </c>
      <c r="C126" s="75"/>
      <c r="D126" s="776" t="s">
        <v>39</v>
      </c>
      <c r="E126" s="76" t="s">
        <v>78</v>
      </c>
      <c r="F126" s="775">
        <v>4</v>
      </c>
      <c r="G126" s="327">
        <v>145892</v>
      </c>
      <c r="H126" s="324">
        <f t="shared" si="2"/>
        <v>583568</v>
      </c>
    </row>
    <row r="127" spans="1:8" ht="16.5">
      <c r="A127" s="718"/>
      <c r="B127" s="730" t="s">
        <v>61</v>
      </c>
      <c r="C127" s="75"/>
      <c r="D127" s="776" t="s">
        <v>39</v>
      </c>
      <c r="E127" s="76" t="s">
        <v>44</v>
      </c>
      <c r="F127" s="775">
        <v>0.8</v>
      </c>
      <c r="G127" s="327">
        <v>109420</v>
      </c>
      <c r="H127" s="324">
        <f t="shared" si="2"/>
        <v>87536</v>
      </c>
    </row>
    <row r="128" spans="1:8" ht="16.5">
      <c r="A128" s="718"/>
      <c r="B128" s="730" t="s">
        <v>64</v>
      </c>
      <c r="C128" s="75"/>
      <c r="D128" s="776" t="s">
        <v>39</v>
      </c>
      <c r="E128" s="76" t="s">
        <v>40</v>
      </c>
      <c r="F128" s="775">
        <v>2</v>
      </c>
      <c r="G128" s="327">
        <v>24316</v>
      </c>
      <c r="H128" s="324">
        <f t="shared" si="2"/>
        <v>48632</v>
      </c>
    </row>
    <row r="129" spans="1:8" ht="16.5">
      <c r="A129" s="718"/>
      <c r="B129" s="730" t="s">
        <v>79</v>
      </c>
      <c r="C129" s="75"/>
      <c r="D129" s="776" t="s">
        <v>39</v>
      </c>
      <c r="E129" s="76" t="s">
        <v>44</v>
      </c>
      <c r="F129" s="775">
        <v>2</v>
      </c>
      <c r="G129" s="327">
        <v>11852</v>
      </c>
      <c r="H129" s="324">
        <f t="shared" si="2"/>
        <v>23704</v>
      </c>
    </row>
    <row r="130" spans="1:8" ht="16.5">
      <c r="A130" s="718"/>
      <c r="B130" s="730" t="s">
        <v>80</v>
      </c>
      <c r="C130" s="75"/>
      <c r="D130" s="776" t="s">
        <v>39</v>
      </c>
      <c r="E130" s="76" t="s">
        <v>57</v>
      </c>
      <c r="F130" s="775">
        <v>1</v>
      </c>
      <c r="G130" s="327">
        <v>85104</v>
      </c>
      <c r="H130" s="324">
        <f t="shared" si="2"/>
        <v>85104</v>
      </c>
    </row>
    <row r="131" spans="1:8" ht="16.5">
      <c r="A131" s="714">
        <v>8</v>
      </c>
      <c r="B131" s="753" t="s">
        <v>36</v>
      </c>
      <c r="C131" s="76"/>
      <c r="D131" s="769"/>
      <c r="E131" s="745"/>
      <c r="F131" s="746"/>
      <c r="G131" s="327"/>
      <c r="H131" s="324"/>
    </row>
    <row r="132" spans="1:8" ht="19.149999999999999" customHeight="1">
      <c r="A132" s="777"/>
      <c r="B132" s="778" t="s">
        <v>81</v>
      </c>
      <c r="C132" s="779"/>
      <c r="D132" s="780" t="s">
        <v>48</v>
      </c>
      <c r="E132" s="781" t="s">
        <v>82</v>
      </c>
      <c r="F132" s="782">
        <v>3</v>
      </c>
      <c r="G132" s="331">
        <v>82673</v>
      </c>
      <c r="H132" s="332">
        <f t="shared" si="2"/>
        <v>248019</v>
      </c>
    </row>
    <row r="133" spans="1:8" ht="16.5">
      <c r="G133" s="333"/>
      <c r="H133" s="334">
        <f>H10+H54</f>
        <v>324666702.60000002</v>
      </c>
    </row>
  </sheetData>
  <mergeCells count="6">
    <mergeCell ref="A7:F7"/>
    <mergeCell ref="A1:B1"/>
    <mergeCell ref="A2:B2"/>
    <mergeCell ref="A4:F4"/>
    <mergeCell ref="A5:F5"/>
    <mergeCell ref="A6:F6"/>
  </mergeCells>
  <conditionalFormatting sqref="D66:D69">
    <cfRule type="expression" dxfId="1" priority="1" stopIfTrue="1">
      <formula>Formulas_Cells</formula>
    </cfRule>
  </conditionalFormatting>
  <printOptions horizontalCentered="1"/>
  <pageMargins left="0.53" right="0.42" top="0.56000000000000005" bottom="0.41"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5"/>
  <sheetViews>
    <sheetView tabSelected="1" topLeftCell="A160" workbookViewId="0">
      <selection activeCell="O173" sqref="O173"/>
    </sheetView>
  </sheetViews>
  <sheetFormatPr defaultColWidth="8.7109375" defaultRowHeight="15"/>
  <cols>
    <col min="1" max="1" width="5.42578125" style="340" customWidth="1"/>
    <col min="2" max="2" width="46.42578125" style="340" customWidth="1"/>
    <col min="3" max="3" width="24.42578125" style="340" customWidth="1"/>
    <col min="4" max="4" width="9.7109375" style="340" bestFit="1" customWidth="1"/>
    <col min="5" max="5" width="7.5703125" style="340" customWidth="1"/>
    <col min="6" max="6" width="7.140625" style="340" bestFit="1" customWidth="1"/>
    <col min="7" max="7" width="11" style="340" hidden="1" customWidth="1"/>
    <col min="8" max="8" width="12.140625" style="340" hidden="1" customWidth="1"/>
    <col min="9" max="9" width="8.7109375" style="340" hidden="1" customWidth="1"/>
    <col min="10" max="10" width="0" style="340" hidden="1" customWidth="1"/>
    <col min="11" max="16384" width="8.7109375" style="340"/>
  </cols>
  <sheetData>
    <row r="1" spans="1:9" ht="15.75">
      <c r="A1" s="848" t="s">
        <v>83</v>
      </c>
      <c r="B1" s="848"/>
      <c r="C1" s="341"/>
      <c r="D1" s="341"/>
      <c r="E1" s="341"/>
    </row>
    <row r="2" spans="1:9" ht="15.75">
      <c r="A2" s="849" t="s">
        <v>0</v>
      </c>
      <c r="B2" s="849"/>
      <c r="C2" s="341"/>
      <c r="D2" s="341"/>
      <c r="E2" s="341"/>
    </row>
    <row r="3" spans="1:9" ht="15.75">
      <c r="A3" s="341"/>
      <c r="B3" s="341"/>
      <c r="C3" s="341"/>
      <c r="D3" s="341"/>
      <c r="E3" s="341"/>
    </row>
    <row r="4" spans="1:9" ht="18" customHeight="1">
      <c r="A4" s="850" t="s">
        <v>307</v>
      </c>
      <c r="B4" s="850"/>
      <c r="C4" s="850"/>
      <c r="D4" s="850"/>
      <c r="E4" s="850"/>
      <c r="F4" s="850"/>
    </row>
    <row r="5" spans="1:9" ht="18.75">
      <c r="A5" s="850" t="s">
        <v>84</v>
      </c>
      <c r="B5" s="850"/>
      <c r="C5" s="850"/>
      <c r="D5" s="850"/>
      <c r="E5" s="850"/>
      <c r="F5" s="850"/>
    </row>
    <row r="6" spans="1:9" ht="18.75">
      <c r="A6" s="850" t="s">
        <v>87</v>
      </c>
      <c r="B6" s="850"/>
      <c r="C6" s="850"/>
      <c r="D6" s="850"/>
      <c r="E6" s="850"/>
      <c r="F6" s="850"/>
    </row>
    <row r="7" spans="1:9" ht="16.5">
      <c r="A7" s="844" t="s">
        <v>1926</v>
      </c>
      <c r="B7" s="844"/>
      <c r="C7" s="844"/>
      <c r="D7" s="844"/>
      <c r="E7" s="844"/>
      <c r="F7" s="844"/>
    </row>
    <row r="9" spans="1:9" ht="28.5">
      <c r="A9" s="342" t="s">
        <v>1</v>
      </c>
      <c r="B9" s="342" t="s">
        <v>2</v>
      </c>
      <c r="C9" s="342" t="s">
        <v>1816</v>
      </c>
      <c r="D9" s="342" t="s">
        <v>4</v>
      </c>
      <c r="E9" s="342" t="s">
        <v>88</v>
      </c>
      <c r="F9" s="342" t="s">
        <v>5</v>
      </c>
      <c r="G9" s="342" t="s">
        <v>1817</v>
      </c>
      <c r="H9" s="342" t="s">
        <v>1818</v>
      </c>
    </row>
    <row r="10" spans="1:9">
      <c r="A10" s="343" t="s">
        <v>6</v>
      </c>
      <c r="B10" s="344" t="s">
        <v>1834</v>
      </c>
      <c r="C10" s="343"/>
      <c r="D10" s="343"/>
      <c r="E10" s="343"/>
      <c r="F10" s="343"/>
      <c r="G10" s="345"/>
      <c r="H10" s="346"/>
      <c r="I10" s="347"/>
    </row>
    <row r="11" spans="1:9">
      <c r="A11" s="348" t="s">
        <v>89</v>
      </c>
      <c r="B11" s="349" t="s">
        <v>90</v>
      </c>
      <c r="C11" s="348"/>
      <c r="D11" s="348"/>
      <c r="E11" s="348"/>
      <c r="F11" s="348"/>
      <c r="G11" s="350"/>
      <c r="H11" s="351"/>
      <c r="I11" s="352"/>
    </row>
    <row r="12" spans="1:9" ht="30">
      <c r="A12" s="353">
        <v>1</v>
      </c>
      <c r="B12" s="354" t="s">
        <v>91</v>
      </c>
      <c r="C12" s="348"/>
      <c r="D12" s="348"/>
      <c r="E12" s="348"/>
      <c r="F12" s="348"/>
      <c r="G12" s="350"/>
      <c r="H12" s="351"/>
      <c r="I12" s="352"/>
    </row>
    <row r="13" spans="1:9">
      <c r="A13" s="353"/>
      <c r="B13" s="354" t="s">
        <v>92</v>
      </c>
      <c r="C13" s="348"/>
      <c r="D13" s="348"/>
      <c r="E13" s="353" t="s">
        <v>93</v>
      </c>
      <c r="F13" s="353">
        <v>71</v>
      </c>
      <c r="G13" s="355">
        <v>20489.25</v>
      </c>
      <c r="H13" s="355">
        <f>F13*G13</f>
        <v>1454736.75</v>
      </c>
      <c r="I13" s="352"/>
    </row>
    <row r="14" spans="1:9">
      <c r="A14" s="353"/>
      <c r="B14" s="354" t="s">
        <v>94</v>
      </c>
      <c r="C14" s="348"/>
      <c r="D14" s="348"/>
      <c r="E14" s="353" t="s">
        <v>93</v>
      </c>
      <c r="F14" s="353">
        <v>71</v>
      </c>
      <c r="G14" s="355">
        <v>159093</v>
      </c>
      <c r="H14" s="355">
        <f t="shared" ref="H14:H77" si="0">F14*G14</f>
        <v>11295603</v>
      </c>
      <c r="I14" s="352"/>
    </row>
    <row r="15" spans="1:9">
      <c r="A15" s="353"/>
      <c r="B15" s="354" t="s">
        <v>95</v>
      </c>
      <c r="C15" s="348"/>
      <c r="D15" s="348"/>
      <c r="E15" s="353" t="s">
        <v>93</v>
      </c>
      <c r="F15" s="353">
        <v>213</v>
      </c>
      <c r="G15" s="355">
        <v>8195.7000000000007</v>
      </c>
      <c r="H15" s="355">
        <f t="shared" si="0"/>
        <v>1745684.1</v>
      </c>
      <c r="I15" s="352"/>
    </row>
    <row r="16" spans="1:9" ht="45">
      <c r="A16" s="353">
        <v>2</v>
      </c>
      <c r="B16" s="354" t="s">
        <v>96</v>
      </c>
      <c r="C16" s="348"/>
      <c r="D16" s="348"/>
      <c r="E16" s="353"/>
      <c r="F16" s="353"/>
      <c r="G16" s="355"/>
      <c r="H16" s="355">
        <f t="shared" si="0"/>
        <v>0</v>
      </c>
      <c r="I16" s="352"/>
    </row>
    <row r="17" spans="1:9">
      <c r="A17" s="353"/>
      <c r="B17" s="354" t="s">
        <v>97</v>
      </c>
      <c r="C17" s="348"/>
      <c r="D17" s="348"/>
      <c r="E17" s="353" t="s">
        <v>93</v>
      </c>
      <c r="F17" s="353">
        <v>266</v>
      </c>
      <c r="G17" s="355">
        <v>97384.2</v>
      </c>
      <c r="H17" s="355">
        <f t="shared" si="0"/>
        <v>25904197.199999999</v>
      </c>
      <c r="I17" s="352"/>
    </row>
    <row r="18" spans="1:9" ht="30">
      <c r="A18" s="353"/>
      <c r="B18" s="354" t="s">
        <v>98</v>
      </c>
      <c r="C18" s="348"/>
      <c r="D18" s="348"/>
      <c r="E18" s="353" t="s">
        <v>93</v>
      </c>
      <c r="F18" s="353">
        <v>79.800000000000011</v>
      </c>
      <c r="G18" s="355">
        <v>8195.7000000000007</v>
      </c>
      <c r="H18" s="355">
        <f t="shared" si="0"/>
        <v>654016.8600000001</v>
      </c>
      <c r="I18" s="352"/>
    </row>
    <row r="19" spans="1:9">
      <c r="A19" s="353"/>
      <c r="B19" s="354" t="s">
        <v>99</v>
      </c>
      <c r="C19" s="348"/>
      <c r="D19" s="348"/>
      <c r="E19" s="353" t="s">
        <v>93</v>
      </c>
      <c r="F19" s="353">
        <v>266</v>
      </c>
      <c r="G19" s="355">
        <v>8195.7000000000007</v>
      </c>
      <c r="H19" s="355">
        <f t="shared" si="0"/>
        <v>2180056.2000000002</v>
      </c>
      <c r="I19" s="352"/>
    </row>
    <row r="20" spans="1:9">
      <c r="A20" s="353">
        <v>3</v>
      </c>
      <c r="B20" s="354" t="s">
        <v>100</v>
      </c>
      <c r="C20" s="348"/>
      <c r="D20" s="348"/>
      <c r="E20" s="353" t="s">
        <v>63</v>
      </c>
      <c r="F20" s="353">
        <v>36</v>
      </c>
      <c r="G20" s="355">
        <v>24346.05</v>
      </c>
      <c r="H20" s="355">
        <f t="shared" si="0"/>
        <v>876457.79999999993</v>
      </c>
      <c r="I20" s="352"/>
    </row>
    <row r="21" spans="1:9">
      <c r="A21" s="348" t="s">
        <v>101</v>
      </c>
      <c r="B21" s="349" t="s">
        <v>102</v>
      </c>
      <c r="C21" s="348"/>
      <c r="D21" s="348"/>
      <c r="E21" s="353"/>
      <c r="F21" s="353"/>
      <c r="G21" s="355"/>
      <c r="H21" s="355">
        <f t="shared" si="0"/>
        <v>0</v>
      </c>
      <c r="I21" s="352"/>
    </row>
    <row r="22" spans="1:9">
      <c r="A22" s="348">
        <v>1</v>
      </c>
      <c r="B22" s="349" t="s">
        <v>103</v>
      </c>
      <c r="C22" s="348"/>
      <c r="D22" s="348"/>
      <c r="E22" s="353"/>
      <c r="F22" s="353"/>
      <c r="G22" s="355"/>
      <c r="H22" s="355">
        <f t="shared" si="0"/>
        <v>0</v>
      </c>
      <c r="I22" s="352"/>
    </row>
    <row r="23" spans="1:9" ht="30">
      <c r="A23" s="348"/>
      <c r="B23" s="354" t="s">
        <v>104</v>
      </c>
      <c r="C23" s="348"/>
      <c r="D23" s="348"/>
      <c r="E23" s="353"/>
      <c r="F23" s="353"/>
      <c r="G23" s="355"/>
      <c r="H23" s="355">
        <f t="shared" si="0"/>
        <v>0</v>
      </c>
      <c r="I23" s="352"/>
    </row>
    <row r="24" spans="1:9" ht="30">
      <c r="A24" s="348"/>
      <c r="B24" s="354" t="s">
        <v>105</v>
      </c>
      <c r="C24" s="348"/>
      <c r="D24" s="348"/>
      <c r="E24" s="353" t="s">
        <v>106</v>
      </c>
      <c r="F24" s="353">
        <v>1</v>
      </c>
      <c r="G24" s="355">
        <v>125000</v>
      </c>
      <c r="H24" s="355">
        <f t="shared" si="0"/>
        <v>125000</v>
      </c>
      <c r="I24" s="352"/>
    </row>
    <row r="25" spans="1:9">
      <c r="A25" s="348"/>
      <c r="B25" s="354" t="s">
        <v>107</v>
      </c>
      <c r="C25" s="348"/>
      <c r="D25" s="348"/>
      <c r="E25" s="353"/>
      <c r="F25" s="353"/>
      <c r="G25" s="355"/>
      <c r="H25" s="355">
        <f t="shared" si="0"/>
        <v>0</v>
      </c>
      <c r="I25" s="352"/>
    </row>
    <row r="26" spans="1:9">
      <c r="A26" s="348"/>
      <c r="B26" s="354" t="s">
        <v>108</v>
      </c>
      <c r="C26" s="348"/>
      <c r="D26" s="348"/>
      <c r="E26" s="353" t="s">
        <v>63</v>
      </c>
      <c r="F26" s="353">
        <v>0.7</v>
      </c>
      <c r="G26" s="355">
        <v>530310</v>
      </c>
      <c r="H26" s="355">
        <f t="shared" si="0"/>
        <v>371217</v>
      </c>
      <c r="I26" s="352"/>
    </row>
    <row r="27" spans="1:9">
      <c r="A27" s="348"/>
      <c r="B27" s="354" t="s">
        <v>109</v>
      </c>
      <c r="C27" s="348"/>
      <c r="D27" s="348"/>
      <c r="E27" s="353" t="s">
        <v>106</v>
      </c>
      <c r="F27" s="353">
        <v>1</v>
      </c>
      <c r="G27" s="355">
        <v>125000</v>
      </c>
      <c r="H27" s="355">
        <f t="shared" si="0"/>
        <v>125000</v>
      </c>
      <c r="I27" s="352"/>
    </row>
    <row r="28" spans="1:9">
      <c r="A28" s="348"/>
      <c r="B28" s="354" t="s">
        <v>110</v>
      </c>
      <c r="C28" s="348"/>
      <c r="D28" s="348"/>
      <c r="E28" s="353" t="s">
        <v>111</v>
      </c>
      <c r="F28" s="353">
        <v>4</v>
      </c>
      <c r="G28" s="355">
        <v>55000</v>
      </c>
      <c r="H28" s="355">
        <f t="shared" si="0"/>
        <v>220000</v>
      </c>
      <c r="I28" s="352"/>
    </row>
    <row r="29" spans="1:9" ht="30">
      <c r="A29" s="348"/>
      <c r="B29" s="354" t="s">
        <v>112</v>
      </c>
      <c r="C29" s="348"/>
      <c r="D29" s="348"/>
      <c r="E29" s="353" t="s">
        <v>63</v>
      </c>
      <c r="F29" s="353">
        <v>15</v>
      </c>
      <c r="G29" s="355">
        <v>92000</v>
      </c>
      <c r="H29" s="355">
        <f t="shared" si="0"/>
        <v>1380000</v>
      </c>
      <c r="I29" s="355"/>
    </row>
    <row r="30" spans="1:9">
      <c r="A30" s="348"/>
      <c r="B30" s="354" t="s">
        <v>113</v>
      </c>
      <c r="C30" s="348"/>
      <c r="D30" s="348"/>
      <c r="E30" s="353" t="s">
        <v>111</v>
      </c>
      <c r="F30" s="353">
        <v>1</v>
      </c>
      <c r="G30" s="355">
        <v>78000</v>
      </c>
      <c r="H30" s="355">
        <f t="shared" si="0"/>
        <v>78000</v>
      </c>
      <c r="I30" s="355"/>
    </row>
    <row r="31" spans="1:9">
      <c r="A31" s="348"/>
      <c r="B31" s="354" t="s">
        <v>114</v>
      </c>
      <c r="C31" s="348"/>
      <c r="D31" s="348"/>
      <c r="E31" s="353"/>
      <c r="F31" s="353"/>
      <c r="G31" s="355"/>
      <c r="H31" s="355">
        <f t="shared" si="0"/>
        <v>0</v>
      </c>
      <c r="I31" s="355"/>
    </row>
    <row r="32" spans="1:9" ht="30">
      <c r="A32" s="348"/>
      <c r="B32" s="354" t="s">
        <v>115</v>
      </c>
      <c r="C32" s="348"/>
      <c r="D32" s="348"/>
      <c r="E32" s="353" t="s">
        <v>63</v>
      </c>
      <c r="F32" s="353">
        <v>0.5</v>
      </c>
      <c r="G32" s="355">
        <v>221000</v>
      </c>
      <c r="H32" s="355">
        <f t="shared" si="0"/>
        <v>110500</v>
      </c>
      <c r="I32" s="355"/>
    </row>
    <row r="33" spans="1:9" ht="30">
      <c r="A33" s="348"/>
      <c r="B33" s="354" t="s">
        <v>116</v>
      </c>
      <c r="C33" s="348"/>
      <c r="D33" s="348"/>
      <c r="E33" s="353" t="s">
        <v>111</v>
      </c>
      <c r="F33" s="353">
        <v>1</v>
      </c>
      <c r="G33" s="355">
        <v>156000</v>
      </c>
      <c r="H33" s="355">
        <f t="shared" si="0"/>
        <v>156000</v>
      </c>
      <c r="I33" s="355"/>
    </row>
    <row r="34" spans="1:9" ht="30">
      <c r="A34" s="348"/>
      <c r="B34" s="354" t="s">
        <v>117</v>
      </c>
      <c r="C34" s="348"/>
      <c r="D34" s="348"/>
      <c r="E34" s="353" t="s">
        <v>111</v>
      </c>
      <c r="F34" s="353">
        <v>1</v>
      </c>
      <c r="G34" s="355">
        <v>622000</v>
      </c>
      <c r="H34" s="355">
        <f t="shared" si="0"/>
        <v>622000</v>
      </c>
      <c r="I34" s="355"/>
    </row>
    <row r="35" spans="1:9">
      <c r="A35" s="348"/>
      <c r="B35" s="354" t="s">
        <v>118</v>
      </c>
      <c r="C35" s="348"/>
      <c r="D35" s="348"/>
      <c r="E35" s="353"/>
      <c r="F35" s="353"/>
      <c r="G35" s="355"/>
      <c r="H35" s="355">
        <f t="shared" si="0"/>
        <v>0</v>
      </c>
      <c r="I35" s="352"/>
    </row>
    <row r="36" spans="1:9">
      <c r="A36" s="348"/>
      <c r="B36" s="354" t="s">
        <v>119</v>
      </c>
      <c r="C36" s="348"/>
      <c r="D36" s="348"/>
      <c r="E36" s="353"/>
      <c r="F36" s="353"/>
      <c r="G36" s="355"/>
      <c r="H36" s="355">
        <f t="shared" si="0"/>
        <v>0</v>
      </c>
      <c r="I36" s="352"/>
    </row>
    <row r="37" spans="1:9" ht="51">
      <c r="A37" s="353"/>
      <c r="B37" s="354" t="s">
        <v>120</v>
      </c>
      <c r="C37" s="348"/>
      <c r="D37" s="348"/>
      <c r="E37" s="353" t="s">
        <v>93</v>
      </c>
      <c r="F37" s="353">
        <v>9.990000000000002</v>
      </c>
      <c r="G37" s="355">
        <v>292000</v>
      </c>
      <c r="H37" s="355">
        <f t="shared" si="0"/>
        <v>2917080.0000000005</v>
      </c>
      <c r="I37" s="352" t="s">
        <v>1797</v>
      </c>
    </row>
    <row r="38" spans="1:9" ht="51">
      <c r="A38" s="353"/>
      <c r="B38" s="354" t="s">
        <v>121</v>
      </c>
      <c r="C38" s="348"/>
      <c r="D38" s="348"/>
      <c r="E38" s="353" t="s">
        <v>93</v>
      </c>
      <c r="F38" s="353">
        <v>0.25</v>
      </c>
      <c r="G38" s="355">
        <v>292000</v>
      </c>
      <c r="H38" s="355">
        <f t="shared" si="0"/>
        <v>73000</v>
      </c>
      <c r="I38" s="352" t="s">
        <v>1797</v>
      </c>
    </row>
    <row r="39" spans="1:9" ht="30">
      <c r="A39" s="353"/>
      <c r="B39" s="354" t="s">
        <v>122</v>
      </c>
      <c r="C39" s="348"/>
      <c r="D39" s="348"/>
      <c r="E39" s="353" t="s">
        <v>123</v>
      </c>
      <c r="F39" s="353">
        <v>1</v>
      </c>
      <c r="G39" s="355">
        <v>805000</v>
      </c>
      <c r="H39" s="355">
        <f t="shared" si="0"/>
        <v>805000</v>
      </c>
      <c r="I39" s="352" t="s">
        <v>1798</v>
      </c>
    </row>
    <row r="40" spans="1:9">
      <c r="A40" s="353"/>
      <c r="B40" s="354" t="s">
        <v>124</v>
      </c>
      <c r="C40" s="348"/>
      <c r="D40" s="348"/>
      <c r="E40" s="353" t="s">
        <v>93</v>
      </c>
      <c r="F40" s="353">
        <v>2</v>
      </c>
      <c r="G40" s="355">
        <v>292000</v>
      </c>
      <c r="H40" s="355">
        <f t="shared" si="0"/>
        <v>584000</v>
      </c>
      <c r="I40" s="352"/>
    </row>
    <row r="41" spans="1:9" ht="30">
      <c r="A41" s="353"/>
      <c r="B41" s="354" t="s">
        <v>125</v>
      </c>
      <c r="C41" s="348"/>
      <c r="D41" s="348"/>
      <c r="E41" s="353" t="s">
        <v>123</v>
      </c>
      <c r="F41" s="353">
        <v>1</v>
      </c>
      <c r="G41" s="355">
        <v>805000</v>
      </c>
      <c r="H41" s="355">
        <f t="shared" si="0"/>
        <v>805000</v>
      </c>
      <c r="I41" s="352"/>
    </row>
    <row r="42" spans="1:9">
      <c r="A42" s="348" t="s">
        <v>126</v>
      </c>
      <c r="B42" s="349" t="s">
        <v>127</v>
      </c>
      <c r="C42" s="348"/>
      <c r="D42" s="348"/>
      <c r="E42" s="353"/>
      <c r="F42" s="353"/>
      <c r="G42" s="355"/>
      <c r="H42" s="355">
        <f t="shared" si="0"/>
        <v>0</v>
      </c>
      <c r="I42" s="352"/>
    </row>
    <row r="43" spans="1:9" s="374" customFormat="1" ht="60">
      <c r="A43" s="353">
        <v>1</v>
      </c>
      <c r="B43" s="354" t="s">
        <v>128</v>
      </c>
      <c r="C43" s="353"/>
      <c r="D43" s="353"/>
      <c r="E43" s="353" t="s">
        <v>111</v>
      </c>
      <c r="F43" s="353">
        <v>1</v>
      </c>
      <c r="G43" s="372"/>
      <c r="H43" s="372">
        <f t="shared" si="0"/>
        <v>0</v>
      </c>
      <c r="I43" s="373"/>
    </row>
    <row r="44" spans="1:9" ht="30">
      <c r="A44" s="353"/>
      <c r="B44" s="354" t="s">
        <v>129</v>
      </c>
      <c r="C44" s="348"/>
      <c r="D44" s="348"/>
      <c r="E44" s="353" t="s">
        <v>111</v>
      </c>
      <c r="F44" s="353">
        <v>3</v>
      </c>
      <c r="G44" s="355">
        <v>423348.08</v>
      </c>
      <c r="H44" s="355">
        <f t="shared" si="0"/>
        <v>1270044.24</v>
      </c>
      <c r="I44" s="352"/>
    </row>
    <row r="45" spans="1:9">
      <c r="A45" s="353"/>
      <c r="B45" s="354" t="s">
        <v>130</v>
      </c>
      <c r="C45" s="348"/>
      <c r="D45" s="348"/>
      <c r="E45" s="353" t="s">
        <v>111</v>
      </c>
      <c r="F45" s="353">
        <v>1</v>
      </c>
      <c r="G45" s="355">
        <v>423348.08</v>
      </c>
      <c r="H45" s="355">
        <f t="shared" si="0"/>
        <v>423348.08</v>
      </c>
      <c r="I45" s="352"/>
    </row>
    <row r="46" spans="1:9">
      <c r="A46" s="353"/>
      <c r="B46" s="354" t="s">
        <v>131</v>
      </c>
      <c r="C46" s="348"/>
      <c r="D46" s="348"/>
      <c r="E46" s="353" t="s">
        <v>111</v>
      </c>
      <c r="F46" s="353">
        <v>2</v>
      </c>
      <c r="G46" s="355">
        <v>423348.08</v>
      </c>
      <c r="H46" s="355">
        <f t="shared" si="0"/>
        <v>846696.16</v>
      </c>
      <c r="I46" s="352"/>
    </row>
    <row r="47" spans="1:9">
      <c r="A47" s="353"/>
      <c r="B47" s="354" t="s">
        <v>132</v>
      </c>
      <c r="C47" s="348"/>
      <c r="D47" s="348"/>
      <c r="E47" s="353" t="s">
        <v>111</v>
      </c>
      <c r="F47" s="353">
        <v>1</v>
      </c>
      <c r="G47" s="355">
        <v>423348.08</v>
      </c>
      <c r="H47" s="355">
        <f t="shared" si="0"/>
        <v>423348.08</v>
      </c>
      <c r="I47" s="352"/>
    </row>
    <row r="48" spans="1:9" ht="25.5">
      <c r="A48" s="353"/>
      <c r="B48" s="354" t="s">
        <v>133</v>
      </c>
      <c r="C48" s="348"/>
      <c r="D48" s="348"/>
      <c r="E48" s="353" t="s">
        <v>134</v>
      </c>
      <c r="F48" s="353">
        <v>1</v>
      </c>
      <c r="G48" s="355">
        <v>1208000</v>
      </c>
      <c r="H48" s="355">
        <f t="shared" si="0"/>
        <v>1208000</v>
      </c>
      <c r="I48" s="352" t="s">
        <v>1799</v>
      </c>
    </row>
    <row r="49" spans="1:9" ht="59.25">
      <c r="A49" s="353"/>
      <c r="B49" s="354" t="s">
        <v>1809</v>
      </c>
      <c r="C49" s="348"/>
      <c r="D49" s="348"/>
      <c r="E49" s="353" t="s">
        <v>135</v>
      </c>
      <c r="F49" s="353">
        <v>1</v>
      </c>
      <c r="G49" s="355">
        <v>5434874</v>
      </c>
      <c r="H49" s="355">
        <f t="shared" si="0"/>
        <v>5434874</v>
      </c>
      <c r="I49" s="352"/>
    </row>
    <row r="50" spans="1:9">
      <c r="A50" s="353"/>
      <c r="B50" s="354" t="s">
        <v>1836</v>
      </c>
      <c r="C50" s="348"/>
      <c r="D50" s="348"/>
      <c r="E50" s="353"/>
      <c r="F50" s="353"/>
      <c r="G50" s="355"/>
      <c r="H50" s="355">
        <f t="shared" si="0"/>
        <v>0</v>
      </c>
      <c r="I50" s="352"/>
    </row>
    <row r="51" spans="1:9">
      <c r="A51" s="353"/>
      <c r="B51" s="354" t="s">
        <v>1837</v>
      </c>
      <c r="C51" s="348"/>
      <c r="D51" s="348"/>
      <c r="E51" s="353"/>
      <c r="F51" s="353"/>
      <c r="G51" s="355"/>
      <c r="H51" s="355">
        <f t="shared" si="0"/>
        <v>0</v>
      </c>
      <c r="I51" s="352"/>
    </row>
    <row r="52" spans="1:9">
      <c r="A52" s="353"/>
      <c r="B52" s="354" t="s">
        <v>1838</v>
      </c>
      <c r="C52" s="348"/>
      <c r="D52" s="348"/>
      <c r="E52" s="353"/>
      <c r="F52" s="353"/>
      <c r="G52" s="355"/>
      <c r="H52" s="355">
        <f t="shared" si="0"/>
        <v>0</v>
      </c>
      <c r="I52" s="352"/>
    </row>
    <row r="53" spans="1:9" ht="30">
      <c r="A53" s="353"/>
      <c r="B53" s="354" t="s">
        <v>1839</v>
      </c>
      <c r="C53" s="348"/>
      <c r="D53" s="348"/>
      <c r="E53" s="353"/>
      <c r="F53" s="353"/>
      <c r="G53" s="355"/>
      <c r="H53" s="355">
        <f t="shared" si="0"/>
        <v>0</v>
      </c>
      <c r="I53" s="352"/>
    </row>
    <row r="54" spans="1:9" ht="45">
      <c r="A54" s="353"/>
      <c r="B54" s="354" t="s">
        <v>1840</v>
      </c>
      <c r="C54" s="348"/>
      <c r="D54" s="348"/>
      <c r="E54" s="353"/>
      <c r="F54" s="353"/>
      <c r="G54" s="355"/>
      <c r="H54" s="355">
        <f t="shared" si="0"/>
        <v>0</v>
      </c>
      <c r="I54" s="352"/>
    </row>
    <row r="55" spans="1:9" s="374" customFormat="1" ht="60">
      <c r="A55" s="353">
        <v>2</v>
      </c>
      <c r="B55" s="356" t="s">
        <v>136</v>
      </c>
      <c r="C55" s="353"/>
      <c r="D55" s="353"/>
      <c r="E55" s="353" t="s">
        <v>111</v>
      </c>
      <c r="F55" s="353">
        <v>1</v>
      </c>
      <c r="G55" s="372"/>
      <c r="H55" s="372">
        <f t="shared" si="0"/>
        <v>0</v>
      </c>
      <c r="I55" s="373"/>
    </row>
    <row r="56" spans="1:9" ht="30">
      <c r="A56" s="353"/>
      <c r="B56" s="354" t="s">
        <v>129</v>
      </c>
      <c r="C56" s="348"/>
      <c r="D56" s="348"/>
      <c r="E56" s="353" t="s">
        <v>111</v>
      </c>
      <c r="F56" s="353">
        <v>3</v>
      </c>
      <c r="G56" s="355">
        <v>423348.08</v>
      </c>
      <c r="H56" s="355">
        <f t="shared" si="0"/>
        <v>1270044.24</v>
      </c>
      <c r="I56" s="352"/>
    </row>
    <row r="57" spans="1:9">
      <c r="A57" s="353"/>
      <c r="B57" s="354" t="s">
        <v>130</v>
      </c>
      <c r="C57" s="348"/>
      <c r="D57" s="348"/>
      <c r="E57" s="353" t="s">
        <v>111</v>
      </c>
      <c r="F57" s="353">
        <v>1</v>
      </c>
      <c r="G57" s="355">
        <v>423348.08</v>
      </c>
      <c r="H57" s="355">
        <f t="shared" si="0"/>
        <v>423348.08</v>
      </c>
      <c r="I57" s="352"/>
    </row>
    <row r="58" spans="1:9">
      <c r="A58" s="353"/>
      <c r="B58" s="354" t="s">
        <v>131</v>
      </c>
      <c r="C58" s="348"/>
      <c r="D58" s="348"/>
      <c r="E58" s="353" t="s">
        <v>111</v>
      </c>
      <c r="F58" s="353">
        <v>2</v>
      </c>
      <c r="G58" s="355">
        <v>423348.08</v>
      </c>
      <c r="H58" s="355">
        <f t="shared" si="0"/>
        <v>846696.16</v>
      </c>
      <c r="I58" s="352"/>
    </row>
    <row r="59" spans="1:9">
      <c r="A59" s="353"/>
      <c r="B59" s="354" t="s">
        <v>132</v>
      </c>
      <c r="C59" s="348"/>
      <c r="D59" s="348"/>
      <c r="E59" s="353" t="s">
        <v>111</v>
      </c>
      <c r="F59" s="353">
        <v>1</v>
      </c>
      <c r="G59" s="355">
        <v>423348.08</v>
      </c>
      <c r="H59" s="355">
        <f t="shared" si="0"/>
        <v>423348.08</v>
      </c>
      <c r="I59" s="352"/>
    </row>
    <row r="60" spans="1:9" ht="25.5">
      <c r="A60" s="353"/>
      <c r="B60" s="354" t="s">
        <v>133</v>
      </c>
      <c r="C60" s="348"/>
      <c r="D60" s="348"/>
      <c r="E60" s="353" t="s">
        <v>134</v>
      </c>
      <c r="F60" s="353">
        <v>1</v>
      </c>
      <c r="G60" s="355">
        <v>1208000</v>
      </c>
      <c r="H60" s="355">
        <f t="shared" si="0"/>
        <v>1208000</v>
      </c>
      <c r="I60" s="352" t="s">
        <v>1799</v>
      </c>
    </row>
    <row r="61" spans="1:9" ht="59.25">
      <c r="A61" s="353"/>
      <c r="B61" s="354" t="s">
        <v>1809</v>
      </c>
      <c r="C61" s="348"/>
      <c r="D61" s="348"/>
      <c r="E61" s="353" t="s">
        <v>135</v>
      </c>
      <c r="F61" s="353">
        <v>1</v>
      </c>
      <c r="G61" s="355">
        <v>5434874</v>
      </c>
      <c r="H61" s="355">
        <f t="shared" si="0"/>
        <v>5434874</v>
      </c>
      <c r="I61" s="352"/>
    </row>
    <row r="62" spans="1:9">
      <c r="A62" s="353"/>
      <c r="B62" s="354" t="s">
        <v>1836</v>
      </c>
      <c r="C62" s="348"/>
      <c r="D62" s="348"/>
      <c r="E62" s="353"/>
      <c r="F62" s="353"/>
      <c r="G62" s="355"/>
      <c r="H62" s="355">
        <f t="shared" si="0"/>
        <v>0</v>
      </c>
      <c r="I62" s="352"/>
    </row>
    <row r="63" spans="1:9">
      <c r="A63" s="353"/>
      <c r="B63" s="354" t="s">
        <v>1837</v>
      </c>
      <c r="C63" s="348"/>
      <c r="D63" s="348"/>
      <c r="E63" s="353"/>
      <c r="F63" s="353"/>
      <c r="G63" s="355"/>
      <c r="H63" s="355">
        <f t="shared" si="0"/>
        <v>0</v>
      </c>
      <c r="I63" s="352"/>
    </row>
    <row r="64" spans="1:9">
      <c r="A64" s="353"/>
      <c r="B64" s="354" t="s">
        <v>1838</v>
      </c>
      <c r="C64" s="348"/>
      <c r="D64" s="348"/>
      <c r="E64" s="353"/>
      <c r="F64" s="353"/>
      <c r="G64" s="355"/>
      <c r="H64" s="355">
        <f t="shared" si="0"/>
        <v>0</v>
      </c>
      <c r="I64" s="352"/>
    </row>
    <row r="65" spans="1:9" ht="30">
      <c r="A65" s="353"/>
      <c r="B65" s="354" t="s">
        <v>1839</v>
      </c>
      <c r="C65" s="348"/>
      <c r="D65" s="348"/>
      <c r="E65" s="353"/>
      <c r="F65" s="353"/>
      <c r="G65" s="355"/>
      <c r="H65" s="355">
        <f t="shared" si="0"/>
        <v>0</v>
      </c>
      <c r="I65" s="352"/>
    </row>
    <row r="66" spans="1:9" ht="45">
      <c r="A66" s="353"/>
      <c r="B66" s="354" t="s">
        <v>1840</v>
      </c>
      <c r="C66" s="348"/>
      <c r="D66" s="348"/>
      <c r="E66" s="353"/>
      <c r="F66" s="353"/>
      <c r="G66" s="355"/>
      <c r="H66" s="355">
        <f t="shared" si="0"/>
        <v>0</v>
      </c>
      <c r="I66" s="352"/>
    </row>
    <row r="67" spans="1:9" s="374" customFormat="1" ht="30">
      <c r="A67" s="353">
        <v>3</v>
      </c>
      <c r="B67" s="357" t="s">
        <v>137</v>
      </c>
      <c r="C67" s="353"/>
      <c r="D67" s="353"/>
      <c r="E67" s="353" t="s">
        <v>138</v>
      </c>
      <c r="F67" s="353">
        <v>2</v>
      </c>
      <c r="G67" s="372">
        <v>34344000</v>
      </c>
      <c r="H67" s="372">
        <f t="shared" si="0"/>
        <v>68688000</v>
      </c>
      <c r="I67" s="373"/>
    </row>
    <row r="68" spans="1:9">
      <c r="A68" s="348" t="s">
        <v>139</v>
      </c>
      <c r="B68" s="358" t="s">
        <v>140</v>
      </c>
      <c r="C68" s="348"/>
      <c r="D68" s="348"/>
      <c r="E68" s="348"/>
      <c r="F68" s="348"/>
      <c r="G68" s="351"/>
      <c r="H68" s="355">
        <f t="shared" si="0"/>
        <v>0</v>
      </c>
      <c r="I68" s="359"/>
    </row>
    <row r="69" spans="1:9" ht="30">
      <c r="A69" s="348">
        <v>1</v>
      </c>
      <c r="B69" s="354" t="s">
        <v>1810</v>
      </c>
      <c r="C69" s="348"/>
      <c r="D69" s="348"/>
      <c r="E69" s="353" t="s">
        <v>141</v>
      </c>
      <c r="F69" s="353">
        <v>1</v>
      </c>
      <c r="G69" s="355">
        <v>5314000</v>
      </c>
      <c r="H69" s="355">
        <f t="shared" si="0"/>
        <v>5314000</v>
      </c>
      <c r="I69" s="352" t="s">
        <v>1800</v>
      </c>
    </row>
    <row r="70" spans="1:9" ht="30">
      <c r="A70" s="353"/>
      <c r="B70" s="354" t="s">
        <v>1841</v>
      </c>
      <c r="C70" s="348"/>
      <c r="D70" s="348"/>
      <c r="E70" s="353"/>
      <c r="F70" s="353"/>
      <c r="G70" s="355"/>
      <c r="H70" s="355">
        <f t="shared" si="0"/>
        <v>0</v>
      </c>
      <c r="I70" s="355"/>
    </row>
    <row r="71" spans="1:9" ht="30">
      <c r="A71" s="353"/>
      <c r="B71" s="354" t="s">
        <v>1842</v>
      </c>
      <c r="C71" s="348"/>
      <c r="D71" s="348"/>
      <c r="E71" s="353"/>
      <c r="F71" s="353"/>
      <c r="G71" s="355"/>
      <c r="H71" s="355">
        <f t="shared" si="0"/>
        <v>0</v>
      </c>
      <c r="I71" s="355"/>
    </row>
    <row r="72" spans="1:9">
      <c r="A72" s="353"/>
      <c r="B72" s="354" t="s">
        <v>1843</v>
      </c>
      <c r="C72" s="348"/>
      <c r="D72" s="348"/>
      <c r="E72" s="353"/>
      <c r="F72" s="353"/>
      <c r="G72" s="355"/>
      <c r="H72" s="355">
        <f t="shared" si="0"/>
        <v>0</v>
      </c>
      <c r="I72" s="355"/>
    </row>
    <row r="73" spans="1:9">
      <c r="A73" s="353"/>
      <c r="B73" s="354" t="s">
        <v>1844</v>
      </c>
      <c r="C73" s="348"/>
      <c r="D73" s="348"/>
      <c r="E73" s="353"/>
      <c r="F73" s="353"/>
      <c r="G73" s="355"/>
      <c r="H73" s="355">
        <f t="shared" si="0"/>
        <v>0</v>
      </c>
      <c r="I73" s="355"/>
    </row>
    <row r="74" spans="1:9">
      <c r="A74" s="353"/>
      <c r="B74" s="354" t="s">
        <v>1845</v>
      </c>
      <c r="C74" s="348"/>
      <c r="D74" s="348"/>
      <c r="E74" s="353"/>
      <c r="F74" s="353"/>
      <c r="G74" s="355"/>
      <c r="H74" s="355">
        <f t="shared" si="0"/>
        <v>0</v>
      </c>
      <c r="I74" s="355"/>
    </row>
    <row r="75" spans="1:9" ht="89.25">
      <c r="A75" s="348">
        <v>2</v>
      </c>
      <c r="B75" s="357" t="s">
        <v>1811</v>
      </c>
      <c r="C75" s="353"/>
      <c r="D75" s="353"/>
      <c r="E75" s="353" t="s">
        <v>142</v>
      </c>
      <c r="F75" s="353">
        <v>1</v>
      </c>
      <c r="G75" s="355">
        <v>5212000</v>
      </c>
      <c r="H75" s="355">
        <f t="shared" si="0"/>
        <v>5212000</v>
      </c>
      <c r="I75" s="352" t="s">
        <v>1801</v>
      </c>
    </row>
    <row r="76" spans="1:9" ht="51">
      <c r="A76" s="353"/>
      <c r="B76" s="357" t="s">
        <v>143</v>
      </c>
      <c r="C76" s="353"/>
      <c r="D76" s="353"/>
      <c r="E76" s="353" t="s">
        <v>111</v>
      </c>
      <c r="F76" s="353">
        <v>4</v>
      </c>
      <c r="G76" s="355">
        <v>434000</v>
      </c>
      <c r="H76" s="355">
        <f t="shared" si="0"/>
        <v>1736000</v>
      </c>
      <c r="I76" s="352" t="s">
        <v>1802</v>
      </c>
    </row>
    <row r="77" spans="1:9" ht="51">
      <c r="A77" s="353"/>
      <c r="B77" s="357" t="s">
        <v>144</v>
      </c>
      <c r="C77" s="353"/>
      <c r="D77" s="353"/>
      <c r="E77" s="353" t="s">
        <v>111</v>
      </c>
      <c r="F77" s="353">
        <v>4</v>
      </c>
      <c r="G77" s="355">
        <v>434000</v>
      </c>
      <c r="H77" s="355">
        <f t="shared" si="0"/>
        <v>1736000</v>
      </c>
      <c r="I77" s="352" t="s">
        <v>1802</v>
      </c>
    </row>
    <row r="78" spans="1:9" ht="51">
      <c r="A78" s="353"/>
      <c r="B78" s="357" t="s">
        <v>145</v>
      </c>
      <c r="C78" s="353"/>
      <c r="D78" s="353"/>
      <c r="E78" s="353" t="s">
        <v>111</v>
      </c>
      <c r="F78" s="353">
        <v>1</v>
      </c>
      <c r="G78" s="355">
        <v>434000</v>
      </c>
      <c r="H78" s="355">
        <f t="shared" ref="H78:H141" si="1">F78*G78</f>
        <v>434000</v>
      </c>
      <c r="I78" s="352" t="s">
        <v>1802</v>
      </c>
    </row>
    <row r="79" spans="1:9" ht="30">
      <c r="A79" s="348">
        <v>3</v>
      </c>
      <c r="B79" s="354" t="s">
        <v>1812</v>
      </c>
      <c r="C79" s="348"/>
      <c r="D79" s="348"/>
      <c r="E79" s="353" t="s">
        <v>141</v>
      </c>
      <c r="F79" s="353">
        <v>1</v>
      </c>
      <c r="G79" s="355">
        <v>2345400</v>
      </c>
      <c r="H79" s="355">
        <f t="shared" si="1"/>
        <v>2345400</v>
      </c>
      <c r="I79" s="352" t="s">
        <v>1800</v>
      </c>
    </row>
    <row r="80" spans="1:9">
      <c r="A80" s="353"/>
      <c r="B80" s="354" t="s">
        <v>1835</v>
      </c>
      <c r="C80" s="348"/>
      <c r="D80" s="348"/>
      <c r="E80" s="353"/>
      <c r="F80" s="353"/>
      <c r="G80" s="355"/>
      <c r="H80" s="355">
        <f t="shared" si="1"/>
        <v>0</v>
      </c>
      <c r="I80" s="352"/>
    </row>
    <row r="81" spans="1:9" ht="30">
      <c r="A81" s="348">
        <v>4</v>
      </c>
      <c r="B81" s="354" t="s">
        <v>1813</v>
      </c>
      <c r="C81" s="348"/>
      <c r="D81" s="348"/>
      <c r="E81" s="353" t="s">
        <v>141</v>
      </c>
      <c r="F81" s="353">
        <v>1</v>
      </c>
      <c r="G81" s="355">
        <v>1302900</v>
      </c>
      <c r="H81" s="355">
        <f t="shared" si="1"/>
        <v>1302900</v>
      </c>
      <c r="I81" s="352" t="s">
        <v>1800</v>
      </c>
    </row>
    <row r="82" spans="1:9">
      <c r="A82" s="353"/>
      <c r="B82" s="354" t="s">
        <v>1835</v>
      </c>
      <c r="C82" s="348"/>
      <c r="D82" s="348"/>
      <c r="E82" s="353"/>
      <c r="F82" s="353"/>
      <c r="G82" s="355"/>
      <c r="H82" s="355">
        <f t="shared" si="1"/>
        <v>0</v>
      </c>
      <c r="I82" s="352"/>
    </row>
    <row r="83" spans="1:9">
      <c r="A83" s="348" t="s">
        <v>147</v>
      </c>
      <c r="B83" s="349" t="s">
        <v>148</v>
      </c>
      <c r="C83" s="348"/>
      <c r="D83" s="348"/>
      <c r="E83" s="353"/>
      <c r="F83" s="353"/>
      <c r="G83" s="355"/>
      <c r="H83" s="355">
        <f t="shared" si="1"/>
        <v>0</v>
      </c>
      <c r="I83" s="352"/>
    </row>
    <row r="84" spans="1:9">
      <c r="A84" s="353">
        <v>1</v>
      </c>
      <c r="B84" s="354" t="s">
        <v>149</v>
      </c>
      <c r="C84" s="353"/>
      <c r="D84" s="353"/>
      <c r="E84" s="353"/>
      <c r="F84" s="353"/>
      <c r="G84" s="355"/>
      <c r="H84" s="355">
        <f t="shared" si="1"/>
        <v>0</v>
      </c>
      <c r="I84" s="352"/>
    </row>
    <row r="85" spans="1:9" ht="30">
      <c r="A85" s="353"/>
      <c r="B85" s="354" t="s">
        <v>150</v>
      </c>
      <c r="C85" s="348"/>
      <c r="D85" s="348"/>
      <c r="E85" s="353" t="s">
        <v>111</v>
      </c>
      <c r="F85" s="353">
        <v>1</v>
      </c>
      <c r="G85" s="355">
        <v>2757612</v>
      </c>
      <c r="H85" s="355">
        <f t="shared" si="1"/>
        <v>2757612</v>
      </c>
      <c r="I85" s="352"/>
    </row>
    <row r="86" spans="1:9" ht="75">
      <c r="A86" s="353"/>
      <c r="B86" s="354" t="s">
        <v>151</v>
      </c>
      <c r="C86" s="348"/>
      <c r="D86" s="348"/>
      <c r="E86" s="353"/>
      <c r="F86" s="353"/>
      <c r="G86" s="355"/>
      <c r="H86" s="355">
        <f t="shared" si="1"/>
        <v>0</v>
      </c>
      <c r="I86" s="352"/>
    </row>
    <row r="87" spans="1:9">
      <c r="A87" s="353">
        <v>2</v>
      </c>
      <c r="B87" s="356" t="s">
        <v>152</v>
      </c>
      <c r="C87" s="348"/>
      <c r="D87" s="348"/>
      <c r="E87" s="353" t="s">
        <v>111</v>
      </c>
      <c r="F87" s="353">
        <v>1</v>
      </c>
      <c r="G87" s="355">
        <v>925149.9</v>
      </c>
      <c r="H87" s="355">
        <f t="shared" si="1"/>
        <v>925149.9</v>
      </c>
      <c r="I87" s="352"/>
    </row>
    <row r="88" spans="1:9" ht="45">
      <c r="A88" s="353"/>
      <c r="B88" s="354" t="s">
        <v>1846</v>
      </c>
      <c r="C88" s="348"/>
      <c r="D88" s="348"/>
      <c r="E88" s="353"/>
      <c r="F88" s="353"/>
      <c r="G88" s="355"/>
      <c r="H88" s="355">
        <f t="shared" si="1"/>
        <v>0</v>
      </c>
      <c r="I88" s="352"/>
    </row>
    <row r="89" spans="1:9" ht="30">
      <c r="A89" s="353"/>
      <c r="B89" s="354" t="s">
        <v>1847</v>
      </c>
      <c r="C89" s="348"/>
      <c r="D89" s="348"/>
      <c r="E89" s="353"/>
      <c r="F89" s="353"/>
      <c r="G89" s="355"/>
      <c r="H89" s="355">
        <f t="shared" si="1"/>
        <v>0</v>
      </c>
      <c r="I89" s="352"/>
    </row>
    <row r="90" spans="1:9">
      <c r="A90" s="360" t="s">
        <v>153</v>
      </c>
      <c r="B90" s="361" t="s">
        <v>154</v>
      </c>
      <c r="C90" s="353"/>
      <c r="D90" s="353"/>
      <c r="E90" s="353"/>
      <c r="F90" s="353"/>
      <c r="G90" s="355"/>
      <c r="H90" s="355">
        <f t="shared" si="1"/>
        <v>0</v>
      </c>
      <c r="I90" s="352"/>
    </row>
    <row r="91" spans="1:9">
      <c r="A91" s="362" t="s">
        <v>139</v>
      </c>
      <c r="B91" s="358" t="s">
        <v>155</v>
      </c>
      <c r="C91" s="348"/>
      <c r="D91" s="348"/>
      <c r="E91" s="348" t="s">
        <v>123</v>
      </c>
      <c r="F91" s="348">
        <v>2</v>
      </c>
      <c r="G91" s="351"/>
      <c r="H91" s="355">
        <f t="shared" si="1"/>
        <v>0</v>
      </c>
      <c r="I91" s="359"/>
    </row>
    <row r="92" spans="1:9" ht="45">
      <c r="A92" s="363">
        <v>1</v>
      </c>
      <c r="B92" s="357" t="s">
        <v>156</v>
      </c>
      <c r="C92" s="353"/>
      <c r="D92" s="353"/>
      <c r="E92" s="353" t="s">
        <v>157</v>
      </c>
      <c r="F92" s="353">
        <v>2</v>
      </c>
      <c r="G92" s="355">
        <v>1737000</v>
      </c>
      <c r="H92" s="355">
        <f t="shared" si="1"/>
        <v>3474000</v>
      </c>
      <c r="I92" s="352" t="s">
        <v>1803</v>
      </c>
    </row>
    <row r="93" spans="1:9" ht="60">
      <c r="A93" s="363">
        <v>2</v>
      </c>
      <c r="B93" s="357" t="s">
        <v>158</v>
      </c>
      <c r="C93" s="353"/>
      <c r="D93" s="353"/>
      <c r="E93" s="353" t="s">
        <v>157</v>
      </c>
      <c r="F93" s="353">
        <v>2</v>
      </c>
      <c r="G93" s="355">
        <v>554000</v>
      </c>
      <c r="H93" s="355">
        <f t="shared" si="1"/>
        <v>1108000</v>
      </c>
      <c r="I93" s="352" t="s">
        <v>1804</v>
      </c>
    </row>
    <row r="94" spans="1:9" ht="30">
      <c r="A94" s="363">
        <v>3</v>
      </c>
      <c r="B94" s="357" t="s">
        <v>159</v>
      </c>
      <c r="C94" s="353"/>
      <c r="D94" s="353"/>
      <c r="E94" s="353" t="s">
        <v>123</v>
      </c>
      <c r="F94" s="353">
        <v>2</v>
      </c>
      <c r="G94" s="355">
        <v>1303000</v>
      </c>
      <c r="H94" s="355">
        <f t="shared" si="1"/>
        <v>2606000</v>
      </c>
      <c r="I94" s="352" t="s">
        <v>1803</v>
      </c>
    </row>
    <row r="95" spans="1:9" ht="51">
      <c r="A95" s="363">
        <v>4</v>
      </c>
      <c r="B95" s="357" t="s">
        <v>160</v>
      </c>
      <c r="C95" s="353"/>
      <c r="D95" s="353"/>
      <c r="E95" s="353" t="s">
        <v>111</v>
      </c>
      <c r="F95" s="353">
        <v>1</v>
      </c>
      <c r="G95" s="355">
        <v>1433000</v>
      </c>
      <c r="H95" s="355">
        <f t="shared" si="1"/>
        <v>1433000</v>
      </c>
      <c r="I95" s="352" t="s">
        <v>1805</v>
      </c>
    </row>
    <row r="96" spans="1:9" ht="45">
      <c r="A96" s="363">
        <v>5</v>
      </c>
      <c r="B96" s="357" t="s">
        <v>161</v>
      </c>
      <c r="C96" s="353"/>
      <c r="D96" s="353"/>
      <c r="E96" s="353" t="s">
        <v>111</v>
      </c>
      <c r="F96" s="353">
        <v>1</v>
      </c>
      <c r="G96" s="355">
        <v>2172000</v>
      </c>
      <c r="H96" s="355">
        <f t="shared" si="1"/>
        <v>2172000</v>
      </c>
      <c r="I96" s="352" t="s">
        <v>1803</v>
      </c>
    </row>
    <row r="97" spans="1:9" ht="25.5">
      <c r="A97" s="363">
        <v>6</v>
      </c>
      <c r="B97" s="357" t="s">
        <v>162</v>
      </c>
      <c r="C97" s="353"/>
      <c r="D97" s="353"/>
      <c r="E97" s="353" t="s">
        <v>146</v>
      </c>
      <c r="F97" s="353">
        <v>2</v>
      </c>
      <c r="G97" s="355">
        <v>554000</v>
      </c>
      <c r="H97" s="355">
        <f t="shared" si="1"/>
        <v>1108000</v>
      </c>
      <c r="I97" s="352" t="s">
        <v>1803</v>
      </c>
    </row>
    <row r="98" spans="1:9" ht="45">
      <c r="A98" s="363">
        <v>7</v>
      </c>
      <c r="B98" s="357" t="s">
        <v>163</v>
      </c>
      <c r="C98" s="353"/>
      <c r="D98" s="353"/>
      <c r="E98" s="353" t="s">
        <v>146</v>
      </c>
      <c r="F98" s="353">
        <v>24</v>
      </c>
      <c r="G98" s="355">
        <v>92000</v>
      </c>
      <c r="H98" s="355">
        <f t="shared" si="1"/>
        <v>2208000</v>
      </c>
      <c r="I98" s="352" t="s">
        <v>1803</v>
      </c>
    </row>
    <row r="99" spans="1:9">
      <c r="A99" s="362" t="s">
        <v>139</v>
      </c>
      <c r="B99" s="358" t="s">
        <v>20</v>
      </c>
      <c r="C99" s="348"/>
      <c r="D99" s="348"/>
      <c r="E99" s="348"/>
      <c r="F99" s="348"/>
      <c r="G99" s="351"/>
      <c r="H99" s="355">
        <f t="shared" si="1"/>
        <v>0</v>
      </c>
      <c r="I99" s="359"/>
    </row>
    <row r="100" spans="1:9" ht="25.5">
      <c r="A100" s="363">
        <v>1</v>
      </c>
      <c r="B100" s="357" t="s">
        <v>164</v>
      </c>
      <c r="C100" s="353"/>
      <c r="D100" s="353"/>
      <c r="E100" s="353" t="s">
        <v>165</v>
      </c>
      <c r="F100" s="353">
        <v>2</v>
      </c>
      <c r="G100" s="355">
        <v>1737000</v>
      </c>
      <c r="H100" s="355">
        <f t="shared" si="1"/>
        <v>3474000</v>
      </c>
      <c r="I100" s="352" t="s">
        <v>1803</v>
      </c>
    </row>
    <row r="101" spans="1:9">
      <c r="A101" s="348" t="s">
        <v>37</v>
      </c>
      <c r="B101" s="349" t="s">
        <v>1647</v>
      </c>
      <c r="C101" s="348"/>
      <c r="D101" s="348"/>
      <c r="E101" s="348"/>
      <c r="F101" s="353"/>
      <c r="G101" s="350"/>
      <c r="H101" s="355">
        <f t="shared" si="1"/>
        <v>0</v>
      </c>
      <c r="I101" s="364"/>
    </row>
    <row r="102" spans="1:9">
      <c r="A102" s="348" t="s">
        <v>89</v>
      </c>
      <c r="B102" s="349" t="s">
        <v>90</v>
      </c>
      <c r="C102" s="348"/>
      <c r="D102" s="348"/>
      <c r="E102" s="348"/>
      <c r="F102" s="353"/>
      <c r="G102" s="350"/>
      <c r="H102" s="355">
        <f t="shared" si="1"/>
        <v>0</v>
      </c>
      <c r="I102" s="364"/>
    </row>
    <row r="103" spans="1:9">
      <c r="A103" s="353">
        <v>1</v>
      </c>
      <c r="B103" s="354" t="s">
        <v>166</v>
      </c>
      <c r="C103" s="348"/>
      <c r="D103" s="348"/>
      <c r="E103" s="348"/>
      <c r="F103" s="353"/>
      <c r="G103" s="350"/>
      <c r="H103" s="355">
        <f t="shared" si="1"/>
        <v>0</v>
      </c>
      <c r="I103" s="364"/>
    </row>
    <row r="104" spans="1:9">
      <c r="A104" s="353"/>
      <c r="B104" s="354" t="s">
        <v>167</v>
      </c>
      <c r="C104" s="353" t="s">
        <v>168</v>
      </c>
      <c r="D104" s="353" t="s">
        <v>169</v>
      </c>
      <c r="E104" s="353" t="s">
        <v>170</v>
      </c>
      <c r="F104" s="353">
        <v>30</v>
      </c>
      <c r="G104" s="355">
        <v>243000.00000000003</v>
      </c>
      <c r="H104" s="355">
        <f t="shared" si="1"/>
        <v>7290000.0000000009</v>
      </c>
      <c r="I104" s="352"/>
    </row>
    <row r="105" spans="1:9">
      <c r="A105" s="353"/>
      <c r="B105" s="354" t="s">
        <v>171</v>
      </c>
      <c r="C105" s="353" t="s">
        <v>172</v>
      </c>
      <c r="D105" s="353" t="s">
        <v>169</v>
      </c>
      <c r="E105" s="353" t="s">
        <v>170</v>
      </c>
      <c r="F105" s="353">
        <v>29</v>
      </c>
      <c r="G105" s="355">
        <v>858600</v>
      </c>
      <c r="H105" s="355">
        <f t="shared" si="1"/>
        <v>24899400</v>
      </c>
      <c r="I105" s="352"/>
    </row>
    <row r="106" spans="1:9" ht="38.25">
      <c r="A106" s="353"/>
      <c r="B106" s="354" t="s">
        <v>173</v>
      </c>
      <c r="C106" s="354"/>
      <c r="D106" s="353"/>
      <c r="E106" s="353" t="s">
        <v>174</v>
      </c>
      <c r="F106" s="353">
        <v>12.4</v>
      </c>
      <c r="G106" s="355">
        <v>650000</v>
      </c>
      <c r="H106" s="355">
        <f t="shared" si="1"/>
        <v>8060000</v>
      </c>
      <c r="I106" s="352" t="s">
        <v>1806</v>
      </c>
    </row>
    <row r="107" spans="1:9" ht="45">
      <c r="A107" s="353">
        <v>2</v>
      </c>
      <c r="B107" s="354" t="s">
        <v>175</v>
      </c>
      <c r="C107" s="354"/>
      <c r="D107" s="353"/>
      <c r="E107" s="353"/>
      <c r="F107" s="353"/>
      <c r="G107" s="355"/>
      <c r="H107" s="355">
        <f t="shared" si="1"/>
        <v>0</v>
      </c>
      <c r="I107" s="352"/>
    </row>
    <row r="108" spans="1:9" ht="30">
      <c r="A108" s="353"/>
      <c r="B108" s="354" t="s">
        <v>176</v>
      </c>
      <c r="C108" s="353" t="s">
        <v>177</v>
      </c>
      <c r="D108" s="353" t="s">
        <v>178</v>
      </c>
      <c r="E108" s="353" t="s">
        <v>170</v>
      </c>
      <c r="F108" s="353">
        <v>22</v>
      </c>
      <c r="G108" s="355">
        <v>213840</v>
      </c>
      <c r="H108" s="355">
        <f t="shared" si="1"/>
        <v>4704480</v>
      </c>
      <c r="I108" s="352"/>
    </row>
    <row r="109" spans="1:9" ht="30">
      <c r="A109" s="353"/>
      <c r="B109" s="354" t="s">
        <v>179</v>
      </c>
      <c r="C109" s="353" t="s">
        <v>180</v>
      </c>
      <c r="D109" s="353" t="s">
        <v>178</v>
      </c>
      <c r="E109" s="353" t="s">
        <v>170</v>
      </c>
      <c r="F109" s="353">
        <v>58</v>
      </c>
      <c r="G109" s="355">
        <v>279720</v>
      </c>
      <c r="H109" s="355">
        <f t="shared" si="1"/>
        <v>16223760</v>
      </c>
      <c r="I109" s="352"/>
    </row>
    <row r="110" spans="1:9">
      <c r="A110" s="353"/>
      <c r="B110" s="354" t="s">
        <v>179</v>
      </c>
      <c r="C110" s="353" t="s">
        <v>181</v>
      </c>
      <c r="D110" s="353" t="s">
        <v>169</v>
      </c>
      <c r="E110" s="353" t="s">
        <v>170</v>
      </c>
      <c r="F110" s="353">
        <v>20</v>
      </c>
      <c r="G110" s="355">
        <v>279720</v>
      </c>
      <c r="H110" s="355">
        <f t="shared" si="1"/>
        <v>5594400</v>
      </c>
      <c r="I110" s="352"/>
    </row>
    <row r="111" spans="1:9">
      <c r="A111" s="353">
        <v>3</v>
      </c>
      <c r="B111" s="354" t="s">
        <v>182</v>
      </c>
      <c r="C111" s="353"/>
      <c r="D111" s="353"/>
      <c r="E111" s="353"/>
      <c r="F111" s="353"/>
      <c r="G111" s="355"/>
      <c r="H111" s="355">
        <f t="shared" si="1"/>
        <v>0</v>
      </c>
      <c r="I111" s="352"/>
    </row>
    <row r="112" spans="1:9" ht="30">
      <c r="A112" s="353"/>
      <c r="B112" s="354" t="s">
        <v>183</v>
      </c>
      <c r="C112" s="353" t="s">
        <v>184</v>
      </c>
      <c r="D112" s="353" t="s">
        <v>169</v>
      </c>
      <c r="E112" s="353" t="s">
        <v>170</v>
      </c>
      <c r="F112" s="353">
        <v>7</v>
      </c>
      <c r="G112" s="355">
        <v>102600</v>
      </c>
      <c r="H112" s="355">
        <f t="shared" si="1"/>
        <v>718200</v>
      </c>
      <c r="I112" s="352"/>
    </row>
    <row r="113" spans="1:9">
      <c r="A113" s="353">
        <v>4</v>
      </c>
      <c r="B113" s="354" t="s">
        <v>185</v>
      </c>
      <c r="C113" s="353"/>
      <c r="D113" s="353"/>
      <c r="E113" s="353"/>
      <c r="F113" s="353"/>
      <c r="G113" s="355"/>
      <c r="H113" s="355">
        <f t="shared" si="1"/>
        <v>0</v>
      </c>
      <c r="I113" s="352"/>
    </row>
    <row r="114" spans="1:9">
      <c r="A114" s="353"/>
      <c r="B114" s="354" t="s">
        <v>186</v>
      </c>
      <c r="C114" s="353" t="s">
        <v>187</v>
      </c>
      <c r="D114" s="353" t="s">
        <v>188</v>
      </c>
      <c r="E114" s="353" t="s">
        <v>189</v>
      </c>
      <c r="F114" s="353">
        <v>4</v>
      </c>
      <c r="G114" s="355">
        <v>2538000</v>
      </c>
      <c r="H114" s="355">
        <f t="shared" si="1"/>
        <v>10152000</v>
      </c>
      <c r="I114" s="352"/>
    </row>
    <row r="115" spans="1:9">
      <c r="A115" s="348" t="s">
        <v>101</v>
      </c>
      <c r="B115" s="349" t="s">
        <v>190</v>
      </c>
      <c r="C115" s="353"/>
      <c r="D115" s="353"/>
      <c r="E115" s="353"/>
      <c r="F115" s="353"/>
      <c r="G115" s="355"/>
      <c r="H115" s="355">
        <f t="shared" si="1"/>
        <v>0</v>
      </c>
      <c r="I115" s="352"/>
    </row>
    <row r="116" spans="1:9">
      <c r="A116" s="353">
        <v>1</v>
      </c>
      <c r="B116" s="354" t="s">
        <v>191</v>
      </c>
      <c r="C116" s="353"/>
      <c r="D116" s="353" t="s">
        <v>192</v>
      </c>
      <c r="E116" s="353" t="s">
        <v>93</v>
      </c>
      <c r="F116" s="353">
        <v>52</v>
      </c>
      <c r="G116" s="355">
        <v>664200</v>
      </c>
      <c r="H116" s="355">
        <f t="shared" si="1"/>
        <v>34538400</v>
      </c>
      <c r="I116" s="352"/>
    </row>
    <row r="117" spans="1:9">
      <c r="A117" s="353">
        <v>2</v>
      </c>
      <c r="B117" s="354" t="s">
        <v>193</v>
      </c>
      <c r="C117" s="353"/>
      <c r="D117" s="353"/>
      <c r="E117" s="353"/>
      <c r="F117" s="353"/>
      <c r="G117" s="355"/>
      <c r="H117" s="355">
        <f t="shared" si="1"/>
        <v>0</v>
      </c>
      <c r="I117" s="352"/>
    </row>
    <row r="118" spans="1:9" ht="30">
      <c r="A118" s="353"/>
      <c r="B118" s="354" t="s">
        <v>194</v>
      </c>
      <c r="C118" s="353"/>
      <c r="D118" s="353" t="s">
        <v>39</v>
      </c>
      <c r="E118" s="353" t="s">
        <v>111</v>
      </c>
      <c r="F118" s="353">
        <v>1</v>
      </c>
      <c r="G118" s="355">
        <v>1425600</v>
      </c>
      <c r="H118" s="355">
        <f t="shared" si="1"/>
        <v>1425600</v>
      </c>
      <c r="I118" s="352"/>
    </row>
    <row r="119" spans="1:9" ht="30">
      <c r="A119" s="353"/>
      <c r="B119" s="354" t="s">
        <v>195</v>
      </c>
      <c r="C119" s="353"/>
      <c r="D119" s="353" t="s">
        <v>39</v>
      </c>
      <c r="E119" s="353" t="s">
        <v>111</v>
      </c>
      <c r="F119" s="353">
        <v>1</v>
      </c>
      <c r="G119" s="355">
        <v>1555200</v>
      </c>
      <c r="H119" s="355">
        <f t="shared" si="1"/>
        <v>1555200</v>
      </c>
      <c r="I119" s="352"/>
    </row>
    <row r="120" spans="1:9" ht="30">
      <c r="A120" s="353"/>
      <c r="B120" s="354" t="s">
        <v>196</v>
      </c>
      <c r="C120" s="353"/>
      <c r="D120" s="353" t="s">
        <v>39</v>
      </c>
      <c r="E120" s="353" t="s">
        <v>111</v>
      </c>
      <c r="F120" s="353">
        <v>1</v>
      </c>
      <c r="G120" s="355">
        <v>1036800.0000000001</v>
      </c>
      <c r="H120" s="355">
        <f t="shared" si="1"/>
        <v>1036800.0000000001</v>
      </c>
      <c r="I120" s="352"/>
    </row>
    <row r="121" spans="1:9" ht="30">
      <c r="A121" s="353"/>
      <c r="B121" s="354" t="s">
        <v>197</v>
      </c>
      <c r="C121" s="353"/>
      <c r="D121" s="353" t="s">
        <v>39</v>
      </c>
      <c r="E121" s="353" t="s">
        <v>111</v>
      </c>
      <c r="F121" s="353">
        <v>1</v>
      </c>
      <c r="G121" s="355">
        <v>1425600</v>
      </c>
      <c r="H121" s="355">
        <f t="shared" si="1"/>
        <v>1425600</v>
      </c>
      <c r="I121" s="352"/>
    </row>
    <row r="122" spans="1:9" ht="30">
      <c r="A122" s="353"/>
      <c r="B122" s="354" t="s">
        <v>198</v>
      </c>
      <c r="C122" s="353"/>
      <c r="D122" s="353" t="s">
        <v>39</v>
      </c>
      <c r="E122" s="353" t="s">
        <v>111</v>
      </c>
      <c r="F122" s="353">
        <v>1</v>
      </c>
      <c r="G122" s="355">
        <v>1555200</v>
      </c>
      <c r="H122" s="355">
        <f t="shared" si="1"/>
        <v>1555200</v>
      </c>
      <c r="I122" s="352"/>
    </row>
    <row r="123" spans="1:9" ht="30">
      <c r="A123" s="353"/>
      <c r="B123" s="354" t="s">
        <v>199</v>
      </c>
      <c r="C123" s="353"/>
      <c r="D123" s="353" t="s">
        <v>39</v>
      </c>
      <c r="E123" s="353" t="s">
        <v>111</v>
      </c>
      <c r="F123" s="353">
        <v>1</v>
      </c>
      <c r="G123" s="355">
        <v>1036800.0000000001</v>
      </c>
      <c r="H123" s="355">
        <f t="shared" si="1"/>
        <v>1036800.0000000001</v>
      </c>
      <c r="I123" s="352"/>
    </row>
    <row r="124" spans="1:9">
      <c r="A124" s="353"/>
      <c r="B124" s="354" t="s">
        <v>200</v>
      </c>
      <c r="C124" s="348"/>
      <c r="D124" s="353" t="s">
        <v>39</v>
      </c>
      <c r="E124" s="353" t="s">
        <v>111</v>
      </c>
      <c r="F124" s="353">
        <v>2</v>
      </c>
      <c r="G124" s="355">
        <v>518400.00000000006</v>
      </c>
      <c r="H124" s="355">
        <f t="shared" si="1"/>
        <v>1036800.0000000001</v>
      </c>
      <c r="I124" s="352"/>
    </row>
    <row r="125" spans="1:9">
      <c r="A125" s="353">
        <v>3</v>
      </c>
      <c r="B125" s="354" t="s">
        <v>201</v>
      </c>
      <c r="C125" s="353"/>
      <c r="D125" s="353"/>
      <c r="E125" s="353"/>
      <c r="F125" s="353"/>
      <c r="G125" s="355"/>
      <c r="H125" s="355">
        <f t="shared" si="1"/>
        <v>0</v>
      </c>
      <c r="I125" s="352"/>
    </row>
    <row r="126" spans="1:9">
      <c r="A126" s="353"/>
      <c r="B126" s="354" t="s">
        <v>202</v>
      </c>
      <c r="C126" s="353" t="s">
        <v>203</v>
      </c>
      <c r="D126" s="353" t="s">
        <v>192</v>
      </c>
      <c r="E126" s="353" t="s">
        <v>204</v>
      </c>
      <c r="F126" s="353">
        <v>10.119999999999999</v>
      </c>
      <c r="G126" s="355">
        <v>48500</v>
      </c>
      <c r="H126" s="355">
        <f t="shared" si="1"/>
        <v>490819.99999999994</v>
      </c>
      <c r="I126" s="352"/>
    </row>
    <row r="127" spans="1:9">
      <c r="A127" s="353"/>
      <c r="B127" s="354" t="s">
        <v>205</v>
      </c>
      <c r="C127" s="353" t="s">
        <v>206</v>
      </c>
      <c r="D127" s="353" t="s">
        <v>39</v>
      </c>
      <c r="E127" s="353" t="s">
        <v>93</v>
      </c>
      <c r="F127" s="353">
        <v>0.09</v>
      </c>
      <c r="G127" s="355">
        <v>738720</v>
      </c>
      <c r="H127" s="355">
        <f t="shared" si="1"/>
        <v>66484.800000000003</v>
      </c>
      <c r="I127" s="352"/>
    </row>
    <row r="128" spans="1:9">
      <c r="A128" s="353"/>
      <c r="B128" s="354" t="s">
        <v>207</v>
      </c>
      <c r="C128" s="348"/>
      <c r="D128" s="353" t="s">
        <v>39</v>
      </c>
      <c r="E128" s="353" t="s">
        <v>63</v>
      </c>
      <c r="F128" s="353">
        <v>15</v>
      </c>
      <c r="G128" s="355">
        <v>51700.000000000007</v>
      </c>
      <c r="H128" s="355">
        <f t="shared" si="1"/>
        <v>775500.00000000012</v>
      </c>
      <c r="I128" s="352"/>
    </row>
    <row r="129" spans="1:9">
      <c r="A129" s="353"/>
      <c r="B129" s="354" t="s">
        <v>208</v>
      </c>
      <c r="C129" s="348"/>
      <c r="D129" s="353" t="s">
        <v>39</v>
      </c>
      <c r="E129" s="353" t="s">
        <v>111</v>
      </c>
      <c r="F129" s="353">
        <v>1</v>
      </c>
      <c r="G129" s="355">
        <v>181500.00000000003</v>
      </c>
      <c r="H129" s="355">
        <f t="shared" si="1"/>
        <v>181500.00000000003</v>
      </c>
      <c r="I129" s="352"/>
    </row>
    <row r="130" spans="1:9">
      <c r="A130" s="353"/>
      <c r="B130" s="354" t="s">
        <v>209</v>
      </c>
      <c r="C130" s="348"/>
      <c r="D130" s="353" t="s">
        <v>39</v>
      </c>
      <c r="E130" s="353" t="s">
        <v>111</v>
      </c>
      <c r="F130" s="353">
        <v>1</v>
      </c>
      <c r="G130" s="355">
        <v>55000</v>
      </c>
      <c r="H130" s="355">
        <f t="shared" si="1"/>
        <v>55000</v>
      </c>
      <c r="I130" s="352"/>
    </row>
    <row r="131" spans="1:9">
      <c r="A131" s="353"/>
      <c r="B131" s="354" t="s">
        <v>202</v>
      </c>
      <c r="C131" s="353" t="s">
        <v>210</v>
      </c>
      <c r="D131" s="353" t="s">
        <v>39</v>
      </c>
      <c r="E131" s="353" t="s">
        <v>204</v>
      </c>
      <c r="F131" s="353">
        <v>1.06</v>
      </c>
      <c r="G131" s="355">
        <v>48500</v>
      </c>
      <c r="H131" s="355">
        <f t="shared" si="1"/>
        <v>51410</v>
      </c>
      <c r="I131" s="352"/>
    </row>
    <row r="132" spans="1:9" ht="30">
      <c r="A132" s="353"/>
      <c r="B132" s="354" t="s">
        <v>1848</v>
      </c>
      <c r="C132" s="348"/>
      <c r="D132" s="348"/>
      <c r="E132" s="353"/>
      <c r="F132" s="353"/>
      <c r="G132" s="355"/>
      <c r="H132" s="355">
        <f t="shared" si="1"/>
        <v>0</v>
      </c>
      <c r="I132" s="355" t="s">
        <v>1807</v>
      </c>
    </row>
    <row r="133" spans="1:9">
      <c r="A133" s="348" t="s">
        <v>126</v>
      </c>
      <c r="B133" s="349" t="s">
        <v>127</v>
      </c>
      <c r="C133" s="353"/>
      <c r="D133" s="353"/>
      <c r="E133" s="353"/>
      <c r="F133" s="353"/>
      <c r="G133" s="355"/>
      <c r="H133" s="355">
        <f t="shared" si="1"/>
        <v>0</v>
      </c>
      <c r="I133" s="352"/>
    </row>
    <row r="134" spans="1:9" ht="30">
      <c r="A134" s="353" t="s">
        <v>211</v>
      </c>
      <c r="B134" s="354" t="s">
        <v>212</v>
      </c>
      <c r="C134" s="353" t="s">
        <v>213</v>
      </c>
      <c r="D134" s="353" t="s">
        <v>214</v>
      </c>
      <c r="E134" s="353" t="s">
        <v>111</v>
      </c>
      <c r="F134" s="353">
        <v>2</v>
      </c>
      <c r="G134" s="355"/>
      <c r="H134" s="355">
        <f t="shared" si="1"/>
        <v>0</v>
      </c>
      <c r="I134" s="352"/>
    </row>
    <row r="135" spans="1:9">
      <c r="A135" s="353"/>
      <c r="B135" s="354" t="s">
        <v>215</v>
      </c>
      <c r="C135" s="353"/>
      <c r="D135" s="353" t="s">
        <v>216</v>
      </c>
      <c r="E135" s="353" t="s">
        <v>146</v>
      </c>
      <c r="F135" s="353">
        <v>2</v>
      </c>
      <c r="G135" s="355">
        <v>12292500.000000002</v>
      </c>
      <c r="H135" s="355">
        <f t="shared" si="1"/>
        <v>24585000.000000004</v>
      </c>
      <c r="I135" s="352"/>
    </row>
    <row r="136" spans="1:9">
      <c r="A136" s="353"/>
      <c r="B136" s="354" t="s">
        <v>217</v>
      </c>
      <c r="C136" s="353"/>
      <c r="D136" s="353" t="s">
        <v>216</v>
      </c>
      <c r="E136" s="353" t="s">
        <v>146</v>
      </c>
      <c r="F136" s="353">
        <v>2</v>
      </c>
      <c r="G136" s="355">
        <v>43569360</v>
      </c>
      <c r="H136" s="355">
        <f t="shared" si="1"/>
        <v>87138720</v>
      </c>
      <c r="I136" s="352"/>
    </row>
    <row r="137" spans="1:9">
      <c r="A137" s="353"/>
      <c r="B137" s="354" t="s">
        <v>218</v>
      </c>
      <c r="C137" s="353"/>
      <c r="D137" s="353"/>
      <c r="E137" s="353" t="s">
        <v>111</v>
      </c>
      <c r="F137" s="353">
        <v>2</v>
      </c>
      <c r="G137" s="355">
        <v>55000</v>
      </c>
      <c r="H137" s="355">
        <f t="shared" si="1"/>
        <v>110000</v>
      </c>
      <c r="I137" s="352"/>
    </row>
    <row r="138" spans="1:9">
      <c r="A138" s="353"/>
      <c r="B138" s="354" t="s">
        <v>219</v>
      </c>
      <c r="C138" s="353" t="s">
        <v>220</v>
      </c>
      <c r="D138" s="353"/>
      <c r="E138" s="353" t="s">
        <v>63</v>
      </c>
      <c r="F138" s="353">
        <v>0.2</v>
      </c>
      <c r="G138" s="355">
        <v>693000</v>
      </c>
      <c r="H138" s="355">
        <f t="shared" si="1"/>
        <v>138600</v>
      </c>
      <c r="I138" s="352"/>
    </row>
    <row r="139" spans="1:9">
      <c r="A139" s="353"/>
      <c r="B139" s="354" t="s">
        <v>221</v>
      </c>
      <c r="C139" s="353"/>
      <c r="D139" s="353"/>
      <c r="E139" s="353" t="s">
        <v>111</v>
      </c>
      <c r="F139" s="353">
        <v>8</v>
      </c>
      <c r="G139" s="355">
        <v>124956.00000000001</v>
      </c>
      <c r="H139" s="355">
        <f t="shared" si="1"/>
        <v>999648.00000000012</v>
      </c>
      <c r="I139" s="352"/>
    </row>
    <row r="140" spans="1:9">
      <c r="A140" s="353"/>
      <c r="B140" s="354" t="s">
        <v>222</v>
      </c>
      <c r="C140" s="353"/>
      <c r="D140" s="353"/>
      <c r="E140" s="353" t="s">
        <v>111</v>
      </c>
      <c r="F140" s="353">
        <v>8</v>
      </c>
      <c r="G140" s="355">
        <v>124956.00000000001</v>
      </c>
      <c r="H140" s="355">
        <f t="shared" si="1"/>
        <v>999648.00000000012</v>
      </c>
      <c r="I140" s="352"/>
    </row>
    <row r="141" spans="1:9">
      <c r="A141" s="353"/>
      <c r="B141" s="354" t="s">
        <v>223</v>
      </c>
      <c r="C141" s="353"/>
      <c r="D141" s="353"/>
      <c r="E141" s="353" t="s">
        <v>111</v>
      </c>
      <c r="F141" s="353">
        <v>4</v>
      </c>
      <c r="G141" s="355">
        <v>124956.00000000001</v>
      </c>
      <c r="H141" s="355">
        <f t="shared" si="1"/>
        <v>499824.00000000006</v>
      </c>
      <c r="I141" s="352"/>
    </row>
    <row r="142" spans="1:9">
      <c r="A142" s="353"/>
      <c r="B142" s="354" t="s">
        <v>224</v>
      </c>
      <c r="C142" s="353" t="s">
        <v>220</v>
      </c>
      <c r="D142" s="353"/>
      <c r="E142" s="353" t="s">
        <v>111</v>
      </c>
      <c r="F142" s="353">
        <v>4</v>
      </c>
      <c r="G142" s="355">
        <v>27500</v>
      </c>
      <c r="H142" s="355">
        <f t="shared" ref="H142:H205" si="2">F142*G142</f>
        <v>110000</v>
      </c>
      <c r="I142" s="352"/>
    </row>
    <row r="143" spans="1:9">
      <c r="A143" s="353"/>
      <c r="B143" s="354" t="s">
        <v>224</v>
      </c>
      <c r="C143" s="353" t="s">
        <v>225</v>
      </c>
      <c r="D143" s="353"/>
      <c r="E143" s="353" t="s">
        <v>111</v>
      </c>
      <c r="F143" s="353">
        <v>4</v>
      </c>
      <c r="G143" s="355">
        <v>27500</v>
      </c>
      <c r="H143" s="355">
        <f t="shared" si="2"/>
        <v>110000</v>
      </c>
      <c r="I143" s="352"/>
    </row>
    <row r="144" spans="1:9">
      <c r="A144" s="353"/>
      <c r="B144" s="354" t="s">
        <v>224</v>
      </c>
      <c r="C144" s="353" t="s">
        <v>226</v>
      </c>
      <c r="D144" s="353"/>
      <c r="E144" s="353" t="s">
        <v>111</v>
      </c>
      <c r="F144" s="353">
        <v>4</v>
      </c>
      <c r="G144" s="355">
        <v>27500</v>
      </c>
      <c r="H144" s="355">
        <f t="shared" si="2"/>
        <v>110000</v>
      </c>
      <c r="I144" s="352"/>
    </row>
    <row r="145" spans="1:9" ht="30">
      <c r="A145" s="353"/>
      <c r="B145" s="354" t="s">
        <v>227</v>
      </c>
      <c r="C145" s="353"/>
      <c r="D145" s="353"/>
      <c r="E145" s="353" t="s">
        <v>111</v>
      </c>
      <c r="F145" s="353">
        <v>2</v>
      </c>
      <c r="G145" s="355">
        <v>1540000</v>
      </c>
      <c r="H145" s="355">
        <f t="shared" si="2"/>
        <v>3080000</v>
      </c>
      <c r="I145" s="352"/>
    </row>
    <row r="146" spans="1:9" ht="30">
      <c r="A146" s="353"/>
      <c r="B146" s="354" t="s">
        <v>228</v>
      </c>
      <c r="C146" s="353"/>
      <c r="D146" s="353"/>
      <c r="E146" s="353" t="s">
        <v>111</v>
      </c>
      <c r="F146" s="353">
        <v>2</v>
      </c>
      <c r="G146" s="355">
        <v>13222000</v>
      </c>
      <c r="H146" s="355">
        <f t="shared" si="2"/>
        <v>26444000</v>
      </c>
      <c r="I146" s="352"/>
    </row>
    <row r="147" spans="1:9">
      <c r="A147" s="353"/>
      <c r="B147" s="354" t="s">
        <v>229</v>
      </c>
      <c r="C147" s="353"/>
      <c r="D147" s="353" t="s">
        <v>192</v>
      </c>
      <c r="E147" s="353" t="s">
        <v>204</v>
      </c>
      <c r="F147" s="353">
        <v>42.12</v>
      </c>
      <c r="G147" s="355">
        <v>30780.000000000004</v>
      </c>
      <c r="H147" s="355">
        <f t="shared" si="2"/>
        <v>1296453.6000000001</v>
      </c>
      <c r="I147" s="352"/>
    </row>
    <row r="148" spans="1:9" ht="28.5">
      <c r="A148" s="353"/>
      <c r="B148" s="349" t="s">
        <v>230</v>
      </c>
      <c r="C148" s="353"/>
      <c r="D148" s="353"/>
      <c r="E148" s="353"/>
      <c r="F148" s="353"/>
      <c r="G148" s="355"/>
      <c r="H148" s="355">
        <f t="shared" si="2"/>
        <v>0</v>
      </c>
      <c r="I148" s="352"/>
    </row>
    <row r="149" spans="1:9">
      <c r="A149" s="353"/>
      <c r="B149" s="354" t="s">
        <v>231</v>
      </c>
      <c r="C149" s="353"/>
      <c r="D149" s="353"/>
      <c r="E149" s="353" t="s">
        <v>111</v>
      </c>
      <c r="F149" s="353">
        <v>4</v>
      </c>
      <c r="G149" s="355">
        <v>1462320</v>
      </c>
      <c r="H149" s="355">
        <f t="shared" si="2"/>
        <v>5849280</v>
      </c>
      <c r="I149" s="352"/>
    </row>
    <row r="150" spans="1:9">
      <c r="A150" s="353"/>
      <c r="B150" s="354" t="s">
        <v>232</v>
      </c>
      <c r="C150" s="353"/>
      <c r="D150" s="353"/>
      <c r="E150" s="353" t="s">
        <v>111</v>
      </c>
      <c r="F150" s="353">
        <v>10</v>
      </c>
      <c r="G150" s="355">
        <v>2242900</v>
      </c>
      <c r="H150" s="355">
        <f t="shared" si="2"/>
        <v>22429000</v>
      </c>
      <c r="I150" s="352"/>
    </row>
    <row r="151" spans="1:9">
      <c r="A151" s="353"/>
      <c r="B151" s="354" t="s">
        <v>233</v>
      </c>
      <c r="C151" s="353"/>
      <c r="D151" s="353"/>
      <c r="E151" s="353" t="s">
        <v>111</v>
      </c>
      <c r="F151" s="353">
        <v>1</v>
      </c>
      <c r="G151" s="355">
        <v>4451760</v>
      </c>
      <c r="H151" s="355">
        <f t="shared" si="2"/>
        <v>4451760</v>
      </c>
      <c r="I151" s="352"/>
    </row>
    <row r="152" spans="1:9">
      <c r="A152" s="353"/>
      <c r="B152" s="354" t="s">
        <v>234</v>
      </c>
      <c r="C152" s="353"/>
      <c r="D152" s="353"/>
      <c r="E152" s="353" t="s">
        <v>10</v>
      </c>
      <c r="F152" s="353">
        <v>1</v>
      </c>
      <c r="G152" s="355">
        <v>13882320</v>
      </c>
      <c r="H152" s="355">
        <f t="shared" si="2"/>
        <v>13882320</v>
      </c>
      <c r="I152" s="352"/>
    </row>
    <row r="153" spans="1:9" ht="59.45" customHeight="1">
      <c r="A153" s="353" t="s">
        <v>237</v>
      </c>
      <c r="B153" s="354" t="s">
        <v>238</v>
      </c>
      <c r="C153" s="365" t="s">
        <v>239</v>
      </c>
      <c r="D153" s="353"/>
      <c r="E153" s="353" t="s">
        <v>26</v>
      </c>
      <c r="F153" s="353">
        <v>2</v>
      </c>
      <c r="G153" s="355"/>
      <c r="H153" s="355">
        <f t="shared" si="2"/>
        <v>0</v>
      </c>
      <c r="I153" s="352"/>
    </row>
    <row r="154" spans="1:9" ht="30">
      <c r="A154" s="353"/>
      <c r="B154" s="354" t="s">
        <v>240</v>
      </c>
      <c r="C154" s="353"/>
      <c r="D154" s="353" t="s">
        <v>214</v>
      </c>
      <c r="E154" s="353" t="s">
        <v>146</v>
      </c>
      <c r="F154" s="353">
        <v>2</v>
      </c>
      <c r="G154" s="355">
        <v>16200000</v>
      </c>
      <c r="H154" s="355">
        <f t="shared" si="2"/>
        <v>32400000</v>
      </c>
      <c r="I154" s="352"/>
    </row>
    <row r="155" spans="1:9">
      <c r="A155" s="353"/>
      <c r="B155" s="354" t="s">
        <v>241</v>
      </c>
      <c r="C155" s="353"/>
      <c r="D155" s="353"/>
      <c r="E155" s="353" t="s">
        <v>111</v>
      </c>
      <c r="F155" s="353">
        <v>2</v>
      </c>
      <c r="G155" s="355">
        <v>2275000</v>
      </c>
      <c r="H155" s="355">
        <f t="shared" si="2"/>
        <v>4550000</v>
      </c>
      <c r="I155" s="352"/>
    </row>
    <row r="156" spans="1:9">
      <c r="A156" s="353"/>
      <c r="B156" s="354" t="s">
        <v>242</v>
      </c>
      <c r="C156" s="353"/>
      <c r="D156" s="353"/>
      <c r="E156" s="353" t="s">
        <v>111</v>
      </c>
      <c r="F156" s="353">
        <v>4</v>
      </c>
      <c r="G156" s="355">
        <v>65988</v>
      </c>
      <c r="H156" s="355">
        <f t="shared" si="2"/>
        <v>263952</v>
      </c>
      <c r="I156" s="352"/>
    </row>
    <row r="157" spans="1:9">
      <c r="A157" s="353"/>
      <c r="B157" s="354" t="s">
        <v>243</v>
      </c>
      <c r="C157" s="353"/>
      <c r="D157" s="353"/>
      <c r="E157" s="353" t="s">
        <v>111</v>
      </c>
      <c r="F157" s="353">
        <v>4</v>
      </c>
      <c r="G157" s="355">
        <v>32940</v>
      </c>
      <c r="H157" s="355">
        <f t="shared" si="2"/>
        <v>131760</v>
      </c>
      <c r="I157" s="352"/>
    </row>
    <row r="158" spans="1:9">
      <c r="A158" s="353"/>
      <c r="B158" s="354" t="s">
        <v>244</v>
      </c>
      <c r="C158" s="353"/>
      <c r="D158" s="353"/>
      <c r="E158" s="353" t="s">
        <v>111</v>
      </c>
      <c r="F158" s="353">
        <v>4</v>
      </c>
      <c r="G158" s="355">
        <v>32940</v>
      </c>
      <c r="H158" s="355">
        <f t="shared" si="2"/>
        <v>131760</v>
      </c>
      <c r="I158" s="352"/>
    </row>
    <row r="159" spans="1:9">
      <c r="A159" s="353"/>
      <c r="B159" s="354" t="s">
        <v>245</v>
      </c>
      <c r="C159" s="353"/>
      <c r="D159" s="353"/>
      <c r="E159" s="353" t="s">
        <v>111</v>
      </c>
      <c r="F159" s="353">
        <v>8</v>
      </c>
      <c r="G159" s="355">
        <v>32940</v>
      </c>
      <c r="H159" s="355">
        <f t="shared" si="2"/>
        <v>263520</v>
      </c>
      <c r="I159" s="352"/>
    </row>
    <row r="160" spans="1:9" ht="30">
      <c r="A160" s="353"/>
      <c r="B160" s="354" t="s">
        <v>246</v>
      </c>
      <c r="C160" s="353"/>
      <c r="D160" s="353"/>
      <c r="E160" s="353" t="s">
        <v>111</v>
      </c>
      <c r="F160" s="353">
        <v>2</v>
      </c>
      <c r="G160" s="355">
        <v>1205600</v>
      </c>
      <c r="H160" s="355">
        <f t="shared" si="2"/>
        <v>2411200</v>
      </c>
      <c r="I160" s="352"/>
    </row>
    <row r="161" spans="1:9">
      <c r="A161" s="353"/>
      <c r="B161" s="354" t="s">
        <v>247</v>
      </c>
      <c r="C161" s="353"/>
      <c r="D161" s="353"/>
      <c r="E161" s="353" t="s">
        <v>111</v>
      </c>
      <c r="F161" s="353">
        <v>8</v>
      </c>
      <c r="G161" s="355">
        <v>124956.00000000001</v>
      </c>
      <c r="H161" s="355">
        <f t="shared" si="2"/>
        <v>999648.00000000012</v>
      </c>
      <c r="I161" s="352"/>
    </row>
    <row r="162" spans="1:9">
      <c r="A162" s="353"/>
      <c r="B162" s="354" t="s">
        <v>248</v>
      </c>
      <c r="C162" s="353"/>
      <c r="D162" s="353"/>
      <c r="E162" s="353" t="s">
        <v>111</v>
      </c>
      <c r="F162" s="353">
        <v>4</v>
      </c>
      <c r="G162" s="355">
        <v>124956.00000000001</v>
      </c>
      <c r="H162" s="355">
        <f t="shared" si="2"/>
        <v>499824.00000000006</v>
      </c>
      <c r="I162" s="352"/>
    </row>
    <row r="163" spans="1:9">
      <c r="A163" s="353"/>
      <c r="B163" s="354" t="s">
        <v>249</v>
      </c>
      <c r="C163" s="353"/>
      <c r="D163" s="353"/>
      <c r="E163" s="353" t="s">
        <v>111</v>
      </c>
      <c r="F163" s="353">
        <v>4</v>
      </c>
      <c r="G163" s="355">
        <v>65988</v>
      </c>
      <c r="H163" s="355">
        <f t="shared" si="2"/>
        <v>263952</v>
      </c>
      <c r="I163" s="352"/>
    </row>
    <row r="164" spans="1:9">
      <c r="A164" s="353"/>
      <c r="B164" s="354" t="s">
        <v>250</v>
      </c>
      <c r="C164" s="353"/>
      <c r="D164" s="353"/>
      <c r="E164" s="353" t="s">
        <v>111</v>
      </c>
      <c r="F164" s="353">
        <v>4</v>
      </c>
      <c r="G164" s="355">
        <v>55000</v>
      </c>
      <c r="H164" s="355">
        <f t="shared" si="2"/>
        <v>220000</v>
      </c>
      <c r="I164" s="352"/>
    </row>
    <row r="165" spans="1:9">
      <c r="A165" s="353"/>
      <c r="B165" s="354" t="s">
        <v>251</v>
      </c>
      <c r="C165" s="353" t="s">
        <v>252</v>
      </c>
      <c r="D165" s="353"/>
      <c r="E165" s="353" t="s">
        <v>63</v>
      </c>
      <c r="F165" s="353">
        <v>0.2</v>
      </c>
      <c r="G165" s="355">
        <v>693000</v>
      </c>
      <c r="H165" s="355">
        <f t="shared" si="2"/>
        <v>138600</v>
      </c>
      <c r="I165" s="352"/>
    </row>
    <row r="166" spans="1:9">
      <c r="A166" s="353"/>
      <c r="B166" s="354" t="s">
        <v>224</v>
      </c>
      <c r="C166" s="353" t="s">
        <v>253</v>
      </c>
      <c r="D166" s="353"/>
      <c r="E166" s="353" t="s">
        <v>111</v>
      </c>
      <c r="F166" s="353">
        <v>4</v>
      </c>
      <c r="G166" s="355">
        <v>33000</v>
      </c>
      <c r="H166" s="355">
        <f t="shared" si="2"/>
        <v>132000</v>
      </c>
      <c r="I166" s="352"/>
    </row>
    <row r="167" spans="1:9">
      <c r="A167" s="353"/>
      <c r="B167" s="354" t="s">
        <v>1814</v>
      </c>
      <c r="C167" s="353"/>
      <c r="D167" s="353"/>
      <c r="E167" s="353" t="s">
        <v>111</v>
      </c>
      <c r="F167" s="353">
        <v>1</v>
      </c>
      <c r="G167" s="355">
        <v>380000</v>
      </c>
      <c r="H167" s="355">
        <f t="shared" si="2"/>
        <v>380000</v>
      </c>
      <c r="I167" s="352"/>
    </row>
    <row r="168" spans="1:9" ht="30">
      <c r="A168" s="353"/>
      <c r="B168" s="354" t="s">
        <v>1815</v>
      </c>
      <c r="C168" s="353"/>
      <c r="D168" s="353"/>
      <c r="E168" s="353" t="s">
        <v>111</v>
      </c>
      <c r="F168" s="353">
        <v>1</v>
      </c>
      <c r="G168" s="355">
        <v>380000</v>
      </c>
      <c r="H168" s="355">
        <f t="shared" si="2"/>
        <v>380000</v>
      </c>
      <c r="I168" s="352"/>
    </row>
    <row r="169" spans="1:9">
      <c r="A169" s="353"/>
      <c r="B169" s="354" t="s">
        <v>254</v>
      </c>
      <c r="C169" s="353"/>
      <c r="D169" s="353"/>
      <c r="E169" s="353" t="s">
        <v>111</v>
      </c>
      <c r="F169" s="353">
        <v>2</v>
      </c>
      <c r="G169" s="355">
        <v>65988</v>
      </c>
      <c r="H169" s="355">
        <f t="shared" si="2"/>
        <v>131976</v>
      </c>
      <c r="I169" s="352"/>
    </row>
    <row r="170" spans="1:9">
      <c r="A170" s="353"/>
      <c r="B170" s="354" t="s">
        <v>255</v>
      </c>
      <c r="C170" s="353"/>
      <c r="D170" s="353"/>
      <c r="E170" s="353" t="s">
        <v>111</v>
      </c>
      <c r="F170" s="353">
        <v>2</v>
      </c>
      <c r="G170" s="355">
        <v>124956.00000000001</v>
      </c>
      <c r="H170" s="355">
        <f t="shared" si="2"/>
        <v>249912.00000000003</v>
      </c>
      <c r="I170" s="352"/>
    </row>
    <row r="171" spans="1:9">
      <c r="A171" s="353"/>
      <c r="B171" s="354" t="s">
        <v>256</v>
      </c>
      <c r="C171" s="353"/>
      <c r="D171" s="353"/>
      <c r="E171" s="353" t="s">
        <v>111</v>
      </c>
      <c r="F171" s="353">
        <v>6</v>
      </c>
      <c r="G171" s="355">
        <v>124956.00000000001</v>
      </c>
      <c r="H171" s="355">
        <f t="shared" si="2"/>
        <v>749736.00000000012</v>
      </c>
      <c r="I171" s="352"/>
    </row>
    <row r="172" spans="1:9">
      <c r="A172" s="353"/>
      <c r="B172" s="354" t="s">
        <v>257</v>
      </c>
      <c r="C172" s="353"/>
      <c r="D172" s="353"/>
      <c r="E172" s="353" t="s">
        <v>111</v>
      </c>
      <c r="F172" s="353">
        <v>4</v>
      </c>
      <c r="G172" s="355">
        <v>65988</v>
      </c>
      <c r="H172" s="355">
        <f t="shared" si="2"/>
        <v>263952</v>
      </c>
      <c r="I172" s="352"/>
    </row>
    <row r="173" spans="1:9" ht="30">
      <c r="A173" s="353"/>
      <c r="B173" s="354" t="s">
        <v>258</v>
      </c>
      <c r="C173" s="353"/>
      <c r="D173" s="353"/>
      <c r="E173" s="353" t="s">
        <v>111</v>
      </c>
      <c r="F173" s="353">
        <v>2</v>
      </c>
      <c r="G173" s="355">
        <v>380000</v>
      </c>
      <c r="H173" s="355">
        <f t="shared" si="2"/>
        <v>760000</v>
      </c>
      <c r="I173" s="352"/>
    </row>
    <row r="174" spans="1:9">
      <c r="A174" s="353"/>
      <c r="B174" s="354" t="s">
        <v>229</v>
      </c>
      <c r="C174" s="353"/>
      <c r="D174" s="353" t="s">
        <v>39</v>
      </c>
      <c r="E174" s="353" t="s">
        <v>204</v>
      </c>
      <c r="F174" s="353">
        <v>102.06</v>
      </c>
      <c r="G174" s="355">
        <v>30780.000000000004</v>
      </c>
      <c r="H174" s="355">
        <f t="shared" si="2"/>
        <v>3141406.8000000003</v>
      </c>
      <c r="I174" s="352"/>
    </row>
    <row r="175" spans="1:9" ht="30">
      <c r="A175" s="353"/>
      <c r="B175" s="349" t="s">
        <v>259</v>
      </c>
      <c r="C175" s="353"/>
      <c r="D175" s="353" t="s">
        <v>1821</v>
      </c>
      <c r="E175" s="353"/>
      <c r="F175" s="353"/>
      <c r="G175" s="355"/>
      <c r="H175" s="355">
        <f t="shared" si="2"/>
        <v>0</v>
      </c>
      <c r="I175" s="352"/>
    </row>
    <row r="176" spans="1:9">
      <c r="A176" s="353"/>
      <c r="B176" s="856" t="s">
        <v>1927</v>
      </c>
      <c r="C176" s="353"/>
      <c r="D176" s="353"/>
      <c r="E176" s="353" t="s">
        <v>10</v>
      </c>
      <c r="F176" s="353">
        <v>2</v>
      </c>
      <c r="G176" s="355">
        <v>2802600</v>
      </c>
      <c r="H176" s="355">
        <f t="shared" si="2"/>
        <v>5605200</v>
      </c>
      <c r="I176" s="355"/>
    </row>
    <row r="177" spans="1:10">
      <c r="A177" s="353"/>
      <c r="B177" s="354" t="s">
        <v>260</v>
      </c>
      <c r="C177" s="353"/>
      <c r="D177" s="353"/>
      <c r="E177" s="353" t="s">
        <v>111</v>
      </c>
      <c r="F177" s="353">
        <v>10</v>
      </c>
      <c r="G177" s="355">
        <v>2077900.0000000002</v>
      </c>
      <c r="H177" s="355">
        <f t="shared" si="2"/>
        <v>20779000.000000004</v>
      </c>
      <c r="I177" s="355"/>
    </row>
    <row r="178" spans="1:10">
      <c r="A178" s="353"/>
      <c r="B178" s="354" t="s">
        <v>261</v>
      </c>
      <c r="C178" s="353"/>
      <c r="D178" s="353"/>
      <c r="E178" s="353" t="s">
        <v>111</v>
      </c>
      <c r="F178" s="353">
        <v>4</v>
      </c>
      <c r="G178" s="355">
        <v>2398000</v>
      </c>
      <c r="H178" s="355">
        <f t="shared" si="2"/>
        <v>9592000</v>
      </c>
      <c r="I178" s="355"/>
    </row>
    <row r="179" spans="1:10">
      <c r="A179" s="353"/>
      <c r="B179" s="354" t="s">
        <v>1819</v>
      </c>
      <c r="C179" s="353" t="s">
        <v>1820</v>
      </c>
      <c r="D179" s="353"/>
      <c r="E179" s="353" t="s">
        <v>111</v>
      </c>
      <c r="F179" s="353">
        <v>4</v>
      </c>
      <c r="G179" s="375">
        <f>1260000*1.08</f>
        <v>1360800</v>
      </c>
      <c r="H179" s="355">
        <f t="shared" si="2"/>
        <v>5443200</v>
      </c>
      <c r="I179" s="376">
        <f t="shared" ref="I179:I182" si="3">G179</f>
        <v>1360800</v>
      </c>
      <c r="J179" s="377"/>
    </row>
    <row r="180" spans="1:10">
      <c r="A180" s="353"/>
      <c r="B180" s="354" t="s">
        <v>1822</v>
      </c>
      <c r="C180" s="353" t="s">
        <v>1823</v>
      </c>
      <c r="D180" s="353"/>
      <c r="E180" s="353" t="s">
        <v>111</v>
      </c>
      <c r="F180" s="353">
        <v>2</v>
      </c>
      <c r="G180" s="375">
        <f>1258000*1.08</f>
        <v>1358640</v>
      </c>
      <c r="H180" s="355">
        <f t="shared" si="2"/>
        <v>2717280</v>
      </c>
      <c r="I180" s="376">
        <f t="shared" si="3"/>
        <v>1358640</v>
      </c>
      <c r="J180" s="377"/>
    </row>
    <row r="181" spans="1:10">
      <c r="A181" s="353"/>
      <c r="B181" s="354" t="s">
        <v>1824</v>
      </c>
      <c r="C181" s="353" t="s">
        <v>1825</v>
      </c>
      <c r="D181" s="353"/>
      <c r="E181" s="353" t="s">
        <v>111</v>
      </c>
      <c r="F181" s="353">
        <v>6</v>
      </c>
      <c r="G181" s="375">
        <f>3070000*1.08</f>
        <v>3315600</v>
      </c>
      <c r="H181" s="355">
        <f t="shared" si="2"/>
        <v>19893600</v>
      </c>
      <c r="I181" s="376">
        <f t="shared" si="3"/>
        <v>3315600</v>
      </c>
      <c r="J181" s="377"/>
    </row>
    <row r="182" spans="1:10">
      <c r="A182" s="353"/>
      <c r="B182" s="354" t="s">
        <v>1826</v>
      </c>
      <c r="C182" s="353" t="s">
        <v>1827</v>
      </c>
      <c r="D182" s="353"/>
      <c r="E182" s="353" t="s">
        <v>111</v>
      </c>
      <c r="F182" s="353">
        <v>6</v>
      </c>
      <c r="G182" s="375">
        <v>2315500</v>
      </c>
      <c r="H182" s="355">
        <f t="shared" si="2"/>
        <v>13893000</v>
      </c>
      <c r="I182" s="376">
        <f t="shared" si="3"/>
        <v>2315500</v>
      </c>
      <c r="J182" s="377"/>
    </row>
    <row r="183" spans="1:10">
      <c r="A183" s="348" t="s">
        <v>139</v>
      </c>
      <c r="B183" s="366" t="s">
        <v>262</v>
      </c>
      <c r="C183" s="348"/>
      <c r="D183" s="348"/>
      <c r="E183" s="353"/>
      <c r="F183" s="353"/>
      <c r="G183" s="351"/>
      <c r="H183" s="355">
        <f t="shared" si="2"/>
        <v>0</v>
      </c>
      <c r="I183" s="359"/>
    </row>
    <row r="184" spans="1:10">
      <c r="A184" s="353"/>
      <c r="B184" s="354" t="s">
        <v>263</v>
      </c>
      <c r="C184" s="348"/>
      <c r="D184" s="348"/>
      <c r="E184" s="353" t="s">
        <v>111</v>
      </c>
      <c r="F184" s="353">
        <v>1</v>
      </c>
      <c r="G184" s="355">
        <v>55000</v>
      </c>
      <c r="H184" s="355">
        <f t="shared" si="2"/>
        <v>55000</v>
      </c>
      <c r="I184" s="352"/>
    </row>
    <row r="185" spans="1:10">
      <c r="A185" s="353"/>
      <c r="B185" s="354" t="s">
        <v>264</v>
      </c>
      <c r="C185" s="348"/>
      <c r="D185" s="348"/>
      <c r="E185" s="353" t="s">
        <v>111</v>
      </c>
      <c r="F185" s="353">
        <v>4</v>
      </c>
      <c r="G185" s="355">
        <v>55000</v>
      </c>
      <c r="H185" s="355">
        <f t="shared" si="2"/>
        <v>220000</v>
      </c>
      <c r="I185" s="352"/>
    </row>
    <row r="186" spans="1:10">
      <c r="A186" s="353"/>
      <c r="B186" s="354" t="s">
        <v>265</v>
      </c>
      <c r="C186" s="348"/>
      <c r="D186" s="348"/>
      <c r="E186" s="353" t="s">
        <v>111</v>
      </c>
      <c r="F186" s="353">
        <v>2</v>
      </c>
      <c r="G186" s="355">
        <v>66000</v>
      </c>
      <c r="H186" s="355">
        <f t="shared" si="2"/>
        <v>132000</v>
      </c>
      <c r="I186" s="352"/>
    </row>
    <row r="187" spans="1:10">
      <c r="A187" s="353"/>
      <c r="B187" s="354" t="s">
        <v>266</v>
      </c>
      <c r="C187" s="348"/>
      <c r="D187" s="348"/>
      <c r="E187" s="353" t="s">
        <v>111</v>
      </c>
      <c r="F187" s="353">
        <v>1</v>
      </c>
      <c r="G187" s="355">
        <v>33000</v>
      </c>
      <c r="H187" s="355">
        <f t="shared" si="2"/>
        <v>33000</v>
      </c>
      <c r="I187" s="352"/>
    </row>
    <row r="188" spans="1:10">
      <c r="A188" s="353"/>
      <c r="B188" s="354" t="s">
        <v>267</v>
      </c>
      <c r="C188" s="348"/>
      <c r="D188" s="348"/>
      <c r="E188" s="353" t="s">
        <v>111</v>
      </c>
      <c r="F188" s="353">
        <v>1</v>
      </c>
      <c r="G188" s="355">
        <v>16500</v>
      </c>
      <c r="H188" s="355">
        <f t="shared" si="2"/>
        <v>16500</v>
      </c>
      <c r="I188" s="352"/>
    </row>
    <row r="189" spans="1:10">
      <c r="A189" s="348" t="s">
        <v>139</v>
      </c>
      <c r="B189" s="366" t="s">
        <v>268</v>
      </c>
      <c r="C189" s="348"/>
      <c r="D189" s="348"/>
      <c r="E189" s="353" t="s">
        <v>142</v>
      </c>
      <c r="F189" s="353">
        <v>1</v>
      </c>
      <c r="G189" s="351"/>
      <c r="H189" s="355">
        <f t="shared" si="2"/>
        <v>0</v>
      </c>
      <c r="I189" s="359"/>
    </row>
    <row r="190" spans="1:10" ht="30">
      <c r="A190" s="353"/>
      <c r="B190" s="357" t="s">
        <v>269</v>
      </c>
      <c r="C190" s="353"/>
      <c r="D190" s="353"/>
      <c r="E190" s="353" t="s">
        <v>142</v>
      </c>
      <c r="F190" s="353">
        <v>1</v>
      </c>
      <c r="G190" s="355">
        <v>8802000</v>
      </c>
      <c r="H190" s="355">
        <f t="shared" si="2"/>
        <v>8802000</v>
      </c>
      <c r="I190" s="352"/>
    </row>
    <row r="191" spans="1:10">
      <c r="A191" s="353"/>
      <c r="B191" s="357" t="s">
        <v>270</v>
      </c>
      <c r="C191" s="353" t="s">
        <v>271</v>
      </c>
      <c r="D191" s="353" t="s">
        <v>39</v>
      </c>
      <c r="E191" s="353" t="s">
        <v>204</v>
      </c>
      <c r="F191" s="353">
        <v>7.57</v>
      </c>
      <c r="G191" s="355">
        <v>48500</v>
      </c>
      <c r="H191" s="355">
        <f t="shared" si="2"/>
        <v>367145</v>
      </c>
      <c r="I191" s="352" t="s">
        <v>1808</v>
      </c>
    </row>
    <row r="192" spans="1:10">
      <c r="A192" s="353"/>
      <c r="B192" s="357" t="s">
        <v>270</v>
      </c>
      <c r="C192" s="353" t="s">
        <v>210</v>
      </c>
      <c r="D192" s="353" t="s">
        <v>39</v>
      </c>
      <c r="E192" s="353" t="s">
        <v>204</v>
      </c>
      <c r="F192" s="353">
        <v>6.39</v>
      </c>
      <c r="G192" s="355">
        <v>48500</v>
      </c>
      <c r="H192" s="355">
        <f t="shared" si="2"/>
        <v>309915</v>
      </c>
      <c r="I192" s="352" t="s">
        <v>1808</v>
      </c>
    </row>
    <row r="193" spans="1:9">
      <c r="A193" s="353"/>
      <c r="B193" s="357" t="s">
        <v>272</v>
      </c>
      <c r="C193" s="353"/>
      <c r="D193" s="353"/>
      <c r="E193" s="353" t="s">
        <v>111</v>
      </c>
      <c r="F193" s="353">
        <v>4</v>
      </c>
      <c r="G193" s="355">
        <v>1500000</v>
      </c>
      <c r="H193" s="355">
        <f t="shared" si="2"/>
        <v>6000000</v>
      </c>
      <c r="I193" s="352" t="s">
        <v>1808</v>
      </c>
    </row>
    <row r="194" spans="1:9">
      <c r="A194" s="353"/>
      <c r="B194" s="357" t="s">
        <v>273</v>
      </c>
      <c r="C194" s="353"/>
      <c r="D194" s="353"/>
      <c r="E194" s="353" t="s">
        <v>111</v>
      </c>
      <c r="F194" s="353">
        <v>4</v>
      </c>
      <c r="G194" s="355">
        <v>1500000</v>
      </c>
      <c r="H194" s="355">
        <f t="shared" si="2"/>
        <v>6000000</v>
      </c>
      <c r="I194" s="352" t="s">
        <v>1808</v>
      </c>
    </row>
    <row r="195" spans="1:9">
      <c r="A195" s="353"/>
      <c r="B195" s="357" t="s">
        <v>274</v>
      </c>
      <c r="C195" s="353"/>
      <c r="D195" s="353"/>
      <c r="E195" s="353" t="s">
        <v>111</v>
      </c>
      <c r="F195" s="353">
        <v>1</v>
      </c>
      <c r="G195" s="355">
        <v>125000</v>
      </c>
      <c r="H195" s="355">
        <f t="shared" si="2"/>
        <v>125000</v>
      </c>
      <c r="I195" s="352" t="s">
        <v>1808</v>
      </c>
    </row>
    <row r="196" spans="1:9">
      <c r="A196" s="348" t="s">
        <v>139</v>
      </c>
      <c r="B196" s="366" t="s">
        <v>275</v>
      </c>
      <c r="C196" s="348"/>
      <c r="D196" s="348"/>
      <c r="E196" s="353"/>
      <c r="F196" s="353"/>
      <c r="G196" s="351"/>
      <c r="H196" s="355">
        <f t="shared" si="2"/>
        <v>0</v>
      </c>
      <c r="I196" s="359"/>
    </row>
    <row r="197" spans="1:9">
      <c r="A197" s="353"/>
      <c r="B197" s="354" t="s">
        <v>276</v>
      </c>
      <c r="C197" s="348"/>
      <c r="D197" s="348"/>
      <c r="E197" s="353" t="s">
        <v>146</v>
      </c>
      <c r="F197" s="353">
        <v>2</v>
      </c>
      <c r="G197" s="355">
        <v>2750000</v>
      </c>
      <c r="H197" s="355">
        <f t="shared" si="2"/>
        <v>5500000</v>
      </c>
      <c r="I197" s="352"/>
    </row>
    <row r="198" spans="1:9">
      <c r="A198" s="348" t="s">
        <v>139</v>
      </c>
      <c r="B198" s="366" t="s">
        <v>277</v>
      </c>
      <c r="C198" s="348"/>
      <c r="D198" s="348"/>
      <c r="E198" s="353"/>
      <c r="F198" s="353"/>
      <c r="G198" s="351"/>
      <c r="H198" s="355">
        <f t="shared" si="2"/>
        <v>0</v>
      </c>
      <c r="I198" s="359"/>
    </row>
    <row r="199" spans="1:9">
      <c r="A199" s="353"/>
      <c r="B199" s="354" t="s">
        <v>276</v>
      </c>
      <c r="C199" s="348"/>
      <c r="D199" s="348"/>
      <c r="E199" s="353" t="s">
        <v>146</v>
      </c>
      <c r="F199" s="353">
        <v>2</v>
      </c>
      <c r="G199" s="355">
        <v>2750000</v>
      </c>
      <c r="H199" s="355">
        <f t="shared" si="2"/>
        <v>5500000</v>
      </c>
      <c r="I199" s="352"/>
    </row>
    <row r="200" spans="1:9">
      <c r="A200" s="348" t="s">
        <v>147</v>
      </c>
      <c r="B200" s="349" t="s">
        <v>148</v>
      </c>
      <c r="C200" s="348"/>
      <c r="D200" s="348"/>
      <c r="E200" s="353"/>
      <c r="F200" s="353"/>
      <c r="G200" s="355"/>
      <c r="H200" s="355">
        <f t="shared" si="2"/>
        <v>0</v>
      </c>
      <c r="I200" s="352"/>
    </row>
    <row r="201" spans="1:9">
      <c r="A201" s="353"/>
      <c r="B201" s="354" t="s">
        <v>278</v>
      </c>
      <c r="C201" s="353" t="s">
        <v>279</v>
      </c>
      <c r="D201" s="353" t="s">
        <v>39</v>
      </c>
      <c r="E201" s="353" t="s">
        <v>32</v>
      </c>
      <c r="F201" s="353">
        <v>6</v>
      </c>
      <c r="G201" s="355">
        <v>9180</v>
      </c>
      <c r="H201" s="355">
        <f t="shared" si="2"/>
        <v>55080</v>
      </c>
      <c r="I201" s="352"/>
    </row>
    <row r="202" spans="1:9" ht="30">
      <c r="A202" s="353"/>
      <c r="B202" s="354" t="s">
        <v>280</v>
      </c>
      <c r="C202" s="353"/>
      <c r="D202" s="353"/>
      <c r="E202" s="353" t="s">
        <v>146</v>
      </c>
      <c r="F202" s="353">
        <v>12</v>
      </c>
      <c r="G202" s="355">
        <v>28500</v>
      </c>
      <c r="H202" s="355">
        <f t="shared" si="2"/>
        <v>342000</v>
      </c>
      <c r="I202" s="352"/>
    </row>
    <row r="203" spans="1:9" ht="30">
      <c r="A203" s="353"/>
      <c r="B203" s="354" t="s">
        <v>281</v>
      </c>
      <c r="C203" s="353"/>
      <c r="D203" s="353"/>
      <c r="E203" s="353" t="s">
        <v>146</v>
      </c>
      <c r="F203" s="353">
        <v>20</v>
      </c>
      <c r="G203" s="355">
        <v>33500</v>
      </c>
      <c r="H203" s="355">
        <f t="shared" si="2"/>
        <v>670000</v>
      </c>
      <c r="I203" s="352"/>
    </row>
    <row r="204" spans="1:9">
      <c r="A204" s="353"/>
      <c r="B204" s="354" t="s">
        <v>205</v>
      </c>
      <c r="C204" s="353" t="s">
        <v>282</v>
      </c>
      <c r="D204" s="353" t="s">
        <v>39</v>
      </c>
      <c r="E204" s="353" t="s">
        <v>283</v>
      </c>
      <c r="F204" s="353">
        <v>0.67</v>
      </c>
      <c r="G204" s="355">
        <v>717200</v>
      </c>
      <c r="H204" s="355">
        <f t="shared" si="2"/>
        <v>480524</v>
      </c>
      <c r="I204" s="352"/>
    </row>
    <row r="205" spans="1:9">
      <c r="A205" s="348" t="s">
        <v>153</v>
      </c>
      <c r="B205" s="349" t="s">
        <v>154</v>
      </c>
      <c r="C205" s="348"/>
      <c r="D205" s="348"/>
      <c r="E205" s="353"/>
      <c r="F205" s="353"/>
      <c r="G205" s="355"/>
      <c r="H205" s="355">
        <f t="shared" si="2"/>
        <v>0</v>
      </c>
      <c r="I205" s="352"/>
    </row>
    <row r="206" spans="1:9">
      <c r="A206" s="353"/>
      <c r="B206" s="354" t="s">
        <v>284</v>
      </c>
      <c r="C206" s="353" t="s">
        <v>285</v>
      </c>
      <c r="D206" s="353" t="s">
        <v>39</v>
      </c>
      <c r="E206" s="353" t="s">
        <v>286</v>
      </c>
      <c r="F206" s="353">
        <v>4</v>
      </c>
      <c r="G206" s="355">
        <v>7560.0000000000009</v>
      </c>
      <c r="H206" s="355">
        <f t="shared" ref="H206:H215" si="4">F206*G206</f>
        <v>30240.000000000004</v>
      </c>
      <c r="I206" s="352"/>
    </row>
    <row r="207" spans="1:9" ht="30">
      <c r="A207" s="353"/>
      <c r="B207" s="354" t="s">
        <v>287</v>
      </c>
      <c r="C207" s="353" t="s">
        <v>288</v>
      </c>
      <c r="D207" s="353" t="s">
        <v>289</v>
      </c>
      <c r="E207" s="353" t="s">
        <v>204</v>
      </c>
      <c r="F207" s="353">
        <v>0.5</v>
      </c>
      <c r="G207" s="355">
        <v>1100000</v>
      </c>
      <c r="H207" s="355">
        <f t="shared" si="4"/>
        <v>550000</v>
      </c>
      <c r="I207" s="352"/>
    </row>
    <row r="208" spans="1:9">
      <c r="A208" s="353"/>
      <c r="B208" s="354" t="s">
        <v>290</v>
      </c>
      <c r="C208" s="353"/>
      <c r="D208" s="353" t="s">
        <v>39</v>
      </c>
      <c r="E208" s="353" t="s">
        <v>59</v>
      </c>
      <c r="F208" s="353">
        <v>0.5</v>
      </c>
      <c r="G208" s="355">
        <v>206000</v>
      </c>
      <c r="H208" s="355">
        <f t="shared" si="4"/>
        <v>103000</v>
      </c>
      <c r="I208" s="352"/>
    </row>
    <row r="209" spans="1:9">
      <c r="A209" s="353"/>
      <c r="B209" s="354" t="s">
        <v>52</v>
      </c>
      <c r="C209" s="353" t="s">
        <v>291</v>
      </c>
      <c r="D209" s="353" t="s">
        <v>39</v>
      </c>
      <c r="E209" s="353" t="s">
        <v>292</v>
      </c>
      <c r="F209" s="353">
        <v>2</v>
      </c>
      <c r="G209" s="355">
        <v>21000</v>
      </c>
      <c r="H209" s="355">
        <f t="shared" si="4"/>
        <v>42000</v>
      </c>
      <c r="I209" s="352"/>
    </row>
    <row r="210" spans="1:9">
      <c r="A210" s="353"/>
      <c r="B210" s="354" t="s">
        <v>293</v>
      </c>
      <c r="C210" s="353"/>
      <c r="D210" s="353" t="s">
        <v>39</v>
      </c>
      <c r="E210" s="353" t="s">
        <v>204</v>
      </c>
      <c r="F210" s="353">
        <v>1.6</v>
      </c>
      <c r="G210" s="355">
        <v>32000</v>
      </c>
      <c r="H210" s="355">
        <f t="shared" si="4"/>
        <v>51200</v>
      </c>
      <c r="I210" s="352"/>
    </row>
    <row r="211" spans="1:9">
      <c r="A211" s="353"/>
      <c r="B211" s="354" t="s">
        <v>294</v>
      </c>
      <c r="C211" s="353" t="s">
        <v>295</v>
      </c>
      <c r="D211" s="353" t="s">
        <v>39</v>
      </c>
      <c r="E211" s="353" t="s">
        <v>296</v>
      </c>
      <c r="F211" s="353">
        <v>1.7</v>
      </c>
      <c r="G211" s="355">
        <v>52000</v>
      </c>
      <c r="H211" s="355">
        <f t="shared" si="4"/>
        <v>88400</v>
      </c>
      <c r="I211" s="352"/>
    </row>
    <row r="212" spans="1:9">
      <c r="A212" s="353"/>
      <c r="B212" s="354" t="s">
        <v>55</v>
      </c>
      <c r="C212" s="353"/>
      <c r="D212" s="353" t="s">
        <v>39</v>
      </c>
      <c r="E212" s="353" t="s">
        <v>44</v>
      </c>
      <c r="F212" s="353">
        <v>12</v>
      </c>
      <c r="G212" s="355">
        <v>13000</v>
      </c>
      <c r="H212" s="355">
        <f t="shared" si="4"/>
        <v>156000</v>
      </c>
      <c r="I212" s="352"/>
    </row>
    <row r="213" spans="1:9">
      <c r="A213" s="348" t="s">
        <v>297</v>
      </c>
      <c r="B213" s="349" t="s">
        <v>298</v>
      </c>
      <c r="C213" s="353"/>
      <c r="D213" s="353"/>
      <c r="E213" s="353"/>
      <c r="F213" s="353"/>
      <c r="G213" s="355"/>
      <c r="H213" s="355">
        <f t="shared" si="4"/>
        <v>0</v>
      </c>
      <c r="I213" s="352"/>
    </row>
    <row r="214" spans="1:9">
      <c r="A214" s="353">
        <v>1</v>
      </c>
      <c r="B214" s="354" t="s">
        <v>299</v>
      </c>
      <c r="C214" s="353"/>
      <c r="D214" s="353"/>
      <c r="E214" s="353" t="s">
        <v>111</v>
      </c>
      <c r="F214" s="353">
        <v>2</v>
      </c>
      <c r="G214" s="355"/>
      <c r="H214" s="355">
        <f t="shared" si="4"/>
        <v>0</v>
      </c>
      <c r="I214" s="352"/>
    </row>
    <row r="215" spans="1:9">
      <c r="A215" s="367"/>
      <c r="B215" s="368" t="s">
        <v>300</v>
      </c>
      <c r="C215" s="367" t="s">
        <v>301</v>
      </c>
      <c r="D215" s="367"/>
      <c r="E215" s="367" t="s">
        <v>146</v>
      </c>
      <c r="F215" s="367">
        <v>64</v>
      </c>
      <c r="G215" s="369">
        <v>12500</v>
      </c>
      <c r="H215" s="355">
        <f t="shared" si="4"/>
        <v>800000</v>
      </c>
      <c r="I215" s="370"/>
    </row>
  </sheetData>
  <autoFilter ref="A9:J215" xr:uid="{5F37782A-2191-4C6A-A26D-20DEB3730073}"/>
  <mergeCells count="6">
    <mergeCell ref="A7:F7"/>
    <mergeCell ref="A1:B1"/>
    <mergeCell ref="A2:B2"/>
    <mergeCell ref="A4:F4"/>
    <mergeCell ref="A5:F5"/>
    <mergeCell ref="A6:F6"/>
  </mergeCells>
  <conditionalFormatting sqref="D57:D58">
    <cfRule type="expression" dxfId="0" priority="1" stopIfTrue="1">
      <formula>Formulas_Cells</formula>
    </cfRule>
  </conditionalFormatting>
  <printOptions horizontalCentered="1"/>
  <pageMargins left="0.31496062992126" right="0.27559055118110198" top="0.6" bottom="0.42" header="0.31496062992126" footer="0.31496062992126"/>
  <pageSetup paperSize="130"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7"/>
  <sheetViews>
    <sheetView workbookViewId="0">
      <selection activeCell="A7" sqref="A7:F7"/>
    </sheetView>
  </sheetViews>
  <sheetFormatPr defaultColWidth="8.7109375" defaultRowHeight="15"/>
  <cols>
    <col min="1" max="1" width="5.42578125" style="38" customWidth="1"/>
    <col min="2" max="2" width="52.85546875" style="38" customWidth="1"/>
    <col min="3" max="3" width="18" style="38" customWidth="1"/>
    <col min="4" max="4" width="10.28515625" style="38" bestFit="1" customWidth="1"/>
    <col min="5" max="5" width="7.5703125" style="38" customWidth="1"/>
    <col min="6" max="6" width="8.7109375" style="38" customWidth="1"/>
    <col min="7" max="7" width="12.140625" style="38" hidden="1" customWidth="1"/>
    <col min="8" max="8" width="13.42578125" style="38" hidden="1" customWidth="1"/>
    <col min="9" max="9" width="13.5703125" style="336" hidden="1" customWidth="1"/>
    <col min="10" max="10" width="8.5703125" style="38" hidden="1" customWidth="1"/>
    <col min="11" max="16384" width="8.7109375" style="38"/>
  </cols>
  <sheetData>
    <row r="1" spans="1:10" ht="15.75">
      <c r="A1" s="851" t="s">
        <v>83</v>
      </c>
      <c r="B1" s="851"/>
      <c r="C1" s="37"/>
      <c r="D1" s="37"/>
      <c r="E1" s="37"/>
    </row>
    <row r="2" spans="1:10" ht="15.75">
      <c r="A2" s="852" t="s">
        <v>0</v>
      </c>
      <c r="B2" s="852"/>
      <c r="C2" s="37"/>
      <c r="D2" s="37"/>
      <c r="E2" s="37"/>
    </row>
    <row r="3" spans="1:10" ht="15.75">
      <c r="A3" s="37"/>
      <c r="B3" s="37"/>
      <c r="C3" s="37"/>
      <c r="D3" s="37"/>
      <c r="E3" s="37"/>
    </row>
    <row r="4" spans="1:10" ht="18" customHeight="1">
      <c r="A4" s="853" t="s">
        <v>451</v>
      </c>
      <c r="B4" s="853"/>
      <c r="C4" s="853"/>
      <c r="D4" s="853"/>
      <c r="E4" s="853"/>
      <c r="F4" s="853"/>
    </row>
    <row r="5" spans="1:10" ht="18.75">
      <c r="A5" s="853" t="s">
        <v>84</v>
      </c>
      <c r="B5" s="853"/>
      <c r="C5" s="853"/>
      <c r="D5" s="853"/>
      <c r="E5" s="853"/>
      <c r="F5" s="853"/>
    </row>
    <row r="6" spans="1:10" ht="18.75">
      <c r="A6" s="853" t="s">
        <v>308</v>
      </c>
      <c r="B6" s="853"/>
      <c r="C6" s="853"/>
      <c r="D6" s="853"/>
      <c r="E6" s="853"/>
      <c r="F6" s="853"/>
    </row>
    <row r="7" spans="1:10" ht="16.5">
      <c r="A7" s="844" t="s">
        <v>1926</v>
      </c>
      <c r="B7" s="844"/>
      <c r="C7" s="844"/>
      <c r="D7" s="844"/>
      <c r="E7" s="844"/>
      <c r="F7" s="844"/>
    </row>
    <row r="9" spans="1:10" ht="42.75">
      <c r="A9" s="59" t="s">
        <v>1</v>
      </c>
      <c r="B9" s="59" t="s">
        <v>2</v>
      </c>
      <c r="C9" s="59" t="s">
        <v>3</v>
      </c>
      <c r="D9" s="59" t="s">
        <v>4</v>
      </c>
      <c r="E9" s="59" t="s">
        <v>88</v>
      </c>
      <c r="F9" s="59" t="s">
        <v>5</v>
      </c>
      <c r="G9" s="40"/>
      <c r="H9" s="40"/>
    </row>
    <row r="10" spans="1:10" ht="15.75">
      <c r="A10" s="415" t="s">
        <v>6</v>
      </c>
      <c r="B10" s="416" t="s">
        <v>306</v>
      </c>
      <c r="C10" s="417"/>
      <c r="D10" s="417"/>
      <c r="E10" s="418"/>
      <c r="F10" s="418"/>
      <c r="G10" s="41"/>
      <c r="H10" s="17"/>
    </row>
    <row r="11" spans="1:10" ht="60">
      <c r="A11" s="52">
        <v>1</v>
      </c>
      <c r="B11" s="413" t="s">
        <v>1849</v>
      </c>
      <c r="C11" s="395"/>
      <c r="D11" s="414"/>
      <c r="E11" s="399" t="s">
        <v>63</v>
      </c>
      <c r="F11" s="399">
        <v>5.5</v>
      </c>
      <c r="G11" s="42">
        <v>402600</v>
      </c>
      <c r="H11" s="43">
        <v>2435730.0000000005</v>
      </c>
      <c r="I11" s="336">
        <f>F11*G11</f>
        <v>2214300</v>
      </c>
      <c r="J11" s="335">
        <f>H11-I11</f>
        <v>221430.00000000047</v>
      </c>
    </row>
    <row r="12" spans="1:10" ht="30">
      <c r="A12" s="57">
        <v>2</v>
      </c>
      <c r="B12" s="378" t="s">
        <v>1850</v>
      </c>
      <c r="C12" s="379"/>
      <c r="D12" s="101"/>
      <c r="E12" s="54" t="s">
        <v>63</v>
      </c>
      <c r="F12" s="54">
        <v>1</v>
      </c>
      <c r="G12" s="18">
        <v>402600</v>
      </c>
      <c r="H12" s="43">
        <v>442860.00000000006</v>
      </c>
      <c r="I12" s="336">
        <f>F12*G12</f>
        <v>402600</v>
      </c>
    </row>
    <row r="13" spans="1:10" ht="28.5">
      <c r="A13" s="380" t="s">
        <v>37</v>
      </c>
      <c r="B13" s="381" t="s">
        <v>309</v>
      </c>
      <c r="C13" s="382"/>
      <c r="D13" s="382"/>
      <c r="E13" s="339"/>
      <c r="F13" s="339"/>
      <c r="G13" s="44"/>
      <c r="H13" s="22"/>
      <c r="I13" s="336">
        <f t="shared" ref="I13:I75" si="0">F13*G13</f>
        <v>0</v>
      </c>
    </row>
    <row r="14" spans="1:10" ht="15.75">
      <c r="A14" s="57" t="s">
        <v>101</v>
      </c>
      <c r="B14" s="101" t="s">
        <v>298</v>
      </c>
      <c r="C14" s="383"/>
      <c r="D14" s="54"/>
      <c r="E14" s="384"/>
      <c r="F14" s="54"/>
      <c r="G14" s="20"/>
      <c r="H14" s="22">
        <v>0</v>
      </c>
      <c r="I14" s="336">
        <f t="shared" si="0"/>
        <v>0</v>
      </c>
    </row>
    <row r="15" spans="1:10" ht="15.75">
      <c r="A15" s="57">
        <v>1</v>
      </c>
      <c r="B15" s="385" t="s">
        <v>310</v>
      </c>
      <c r="C15" s="54"/>
      <c r="D15" s="54"/>
      <c r="E15" s="384"/>
      <c r="F15" s="54"/>
      <c r="G15" s="20"/>
      <c r="H15" s="22">
        <v>0</v>
      </c>
      <c r="I15" s="336">
        <f t="shared" si="0"/>
        <v>0</v>
      </c>
    </row>
    <row r="16" spans="1:10" ht="15.75">
      <c r="A16" s="57"/>
      <c r="B16" s="386" t="s">
        <v>311</v>
      </c>
      <c r="C16" s="387"/>
      <c r="D16" s="54" t="s">
        <v>312</v>
      </c>
      <c r="E16" s="384" t="s">
        <v>313</v>
      </c>
      <c r="F16" s="54">
        <v>2</v>
      </c>
      <c r="G16" s="20">
        <v>385000.00000000006</v>
      </c>
      <c r="H16" s="22">
        <v>770000.00000000012</v>
      </c>
      <c r="I16" s="336">
        <f t="shared" si="0"/>
        <v>770000.00000000012</v>
      </c>
    </row>
    <row r="17" spans="1:9" ht="15.75">
      <c r="A17" s="57" t="s">
        <v>126</v>
      </c>
      <c r="B17" s="388" t="s">
        <v>314</v>
      </c>
      <c r="C17" s="389"/>
      <c r="D17" s="389"/>
      <c r="E17" s="390"/>
      <c r="F17" s="54"/>
      <c r="G17" s="21"/>
      <c r="H17" s="22">
        <v>0</v>
      </c>
      <c r="I17" s="336">
        <f t="shared" si="0"/>
        <v>0</v>
      </c>
    </row>
    <row r="18" spans="1:9" ht="28.5">
      <c r="A18" s="57">
        <v>1</v>
      </c>
      <c r="B18" s="385" t="s">
        <v>315</v>
      </c>
      <c r="C18" s="54"/>
      <c r="D18" s="54"/>
      <c r="E18" s="384"/>
      <c r="F18" s="54"/>
      <c r="G18" s="20"/>
      <c r="H18" s="22">
        <v>0</v>
      </c>
      <c r="I18" s="336">
        <f t="shared" si="0"/>
        <v>0</v>
      </c>
    </row>
    <row r="19" spans="1:9" ht="15.75">
      <c r="A19" s="57"/>
      <c r="B19" s="386" t="s">
        <v>316</v>
      </c>
      <c r="C19" s="387"/>
      <c r="D19" s="54" t="s">
        <v>312</v>
      </c>
      <c r="E19" s="384" t="s">
        <v>313</v>
      </c>
      <c r="F19" s="54">
        <v>4</v>
      </c>
      <c r="G19" s="20">
        <v>165000</v>
      </c>
      <c r="H19" s="22">
        <v>660000</v>
      </c>
      <c r="I19" s="336">
        <f t="shared" si="0"/>
        <v>660000</v>
      </c>
    </row>
    <row r="20" spans="1:9" ht="15.75">
      <c r="A20" s="57"/>
      <c r="B20" s="386" t="s">
        <v>317</v>
      </c>
      <c r="C20" s="387"/>
      <c r="D20" s="54" t="s">
        <v>318</v>
      </c>
      <c r="E20" s="384" t="s">
        <v>146</v>
      </c>
      <c r="F20" s="54">
        <v>2</v>
      </c>
      <c r="G20" s="20">
        <v>1375000</v>
      </c>
      <c r="H20" s="22">
        <v>2750000</v>
      </c>
      <c r="I20" s="336">
        <f t="shared" si="0"/>
        <v>2750000</v>
      </c>
    </row>
    <row r="21" spans="1:9" ht="28.5">
      <c r="A21" s="57">
        <v>1</v>
      </c>
      <c r="B21" s="385" t="s">
        <v>319</v>
      </c>
      <c r="C21" s="54"/>
      <c r="D21" s="54"/>
      <c r="E21" s="384"/>
      <c r="F21" s="54"/>
      <c r="G21" s="20"/>
      <c r="H21" s="22">
        <v>0</v>
      </c>
      <c r="I21" s="336">
        <f t="shared" si="0"/>
        <v>0</v>
      </c>
    </row>
    <row r="22" spans="1:9" ht="15.75">
      <c r="A22" s="57"/>
      <c r="B22" s="386" t="s">
        <v>320</v>
      </c>
      <c r="C22" s="387"/>
      <c r="D22" s="54" t="s">
        <v>312</v>
      </c>
      <c r="E22" s="384" t="s">
        <v>313</v>
      </c>
      <c r="F22" s="54">
        <v>2</v>
      </c>
      <c r="G22" s="20">
        <v>220000.00000000003</v>
      </c>
      <c r="H22" s="22">
        <v>440000.00000000006</v>
      </c>
      <c r="I22" s="336">
        <f t="shared" si="0"/>
        <v>440000.00000000006</v>
      </c>
    </row>
    <row r="23" spans="1:9" ht="15.75">
      <c r="A23" s="57"/>
      <c r="B23" s="386" t="s">
        <v>321</v>
      </c>
      <c r="C23" s="387"/>
      <c r="D23" s="54" t="s">
        <v>312</v>
      </c>
      <c r="E23" s="384" t="s">
        <v>313</v>
      </c>
      <c r="F23" s="54">
        <v>2</v>
      </c>
      <c r="G23" s="20">
        <v>198000.00000000003</v>
      </c>
      <c r="H23" s="22">
        <v>396000.00000000006</v>
      </c>
      <c r="I23" s="336">
        <f t="shared" si="0"/>
        <v>396000.00000000006</v>
      </c>
    </row>
    <row r="24" spans="1:9" ht="15.75">
      <c r="A24" s="57"/>
      <c r="B24" s="386" t="s">
        <v>317</v>
      </c>
      <c r="C24" s="387"/>
      <c r="D24" s="54" t="s">
        <v>318</v>
      </c>
      <c r="E24" s="384" t="s">
        <v>146</v>
      </c>
      <c r="F24" s="54">
        <v>2</v>
      </c>
      <c r="G24" s="20">
        <v>1375000</v>
      </c>
      <c r="H24" s="22">
        <v>2750000</v>
      </c>
      <c r="I24" s="336">
        <f t="shared" si="0"/>
        <v>2750000</v>
      </c>
    </row>
    <row r="25" spans="1:9" ht="28.5">
      <c r="A25" s="57">
        <v>1</v>
      </c>
      <c r="B25" s="385" t="s">
        <v>322</v>
      </c>
      <c r="C25" s="54"/>
      <c r="D25" s="54"/>
      <c r="E25" s="384"/>
      <c r="F25" s="54"/>
      <c r="G25" s="20"/>
      <c r="H25" s="22">
        <v>0</v>
      </c>
      <c r="I25" s="336">
        <f t="shared" si="0"/>
        <v>0</v>
      </c>
    </row>
    <row r="26" spans="1:9" ht="15.75">
      <c r="A26" s="57"/>
      <c r="B26" s="386" t="s">
        <v>323</v>
      </c>
      <c r="C26" s="387"/>
      <c r="D26" s="54" t="s">
        <v>312</v>
      </c>
      <c r="E26" s="384" t="s">
        <v>313</v>
      </c>
      <c r="F26" s="54">
        <v>4</v>
      </c>
      <c r="G26" s="20">
        <v>132000</v>
      </c>
      <c r="H26" s="22">
        <v>528000</v>
      </c>
      <c r="I26" s="336">
        <f t="shared" si="0"/>
        <v>528000</v>
      </c>
    </row>
    <row r="27" spans="1:9" ht="15.75">
      <c r="A27" s="57"/>
      <c r="B27" s="386" t="s">
        <v>324</v>
      </c>
      <c r="C27" s="387"/>
      <c r="D27" s="54" t="s">
        <v>312</v>
      </c>
      <c r="E27" s="384" t="s">
        <v>313</v>
      </c>
      <c r="F27" s="54">
        <v>4</v>
      </c>
      <c r="G27" s="20">
        <v>220000.00000000003</v>
      </c>
      <c r="H27" s="22">
        <v>880000.00000000012</v>
      </c>
      <c r="I27" s="336">
        <f t="shared" si="0"/>
        <v>880000.00000000012</v>
      </c>
    </row>
    <row r="28" spans="1:9" ht="15.75">
      <c r="A28" s="57"/>
      <c r="B28" s="386" t="s">
        <v>317</v>
      </c>
      <c r="C28" s="387"/>
      <c r="D28" s="54" t="s">
        <v>318</v>
      </c>
      <c r="E28" s="384" t="s">
        <v>146</v>
      </c>
      <c r="F28" s="54">
        <v>4</v>
      </c>
      <c r="G28" s="20">
        <v>1375000</v>
      </c>
      <c r="H28" s="22">
        <v>5500000</v>
      </c>
      <c r="I28" s="336">
        <f t="shared" si="0"/>
        <v>5500000</v>
      </c>
    </row>
    <row r="29" spans="1:9" ht="28.5">
      <c r="A29" s="57">
        <v>1</v>
      </c>
      <c r="B29" s="385" t="s">
        <v>325</v>
      </c>
      <c r="C29" s="54"/>
      <c r="D29" s="54"/>
      <c r="E29" s="384"/>
      <c r="F29" s="54"/>
      <c r="G29" s="20"/>
      <c r="H29" s="22">
        <v>0</v>
      </c>
      <c r="I29" s="336">
        <f t="shared" si="0"/>
        <v>0</v>
      </c>
    </row>
    <row r="30" spans="1:9" ht="15.75">
      <c r="A30" s="57"/>
      <c r="B30" s="386" t="s">
        <v>326</v>
      </c>
      <c r="C30" s="387"/>
      <c r="D30" s="54" t="s">
        <v>312</v>
      </c>
      <c r="E30" s="384" t="s">
        <v>313</v>
      </c>
      <c r="F30" s="54">
        <v>2</v>
      </c>
      <c r="G30" s="20">
        <v>275000</v>
      </c>
      <c r="H30" s="22">
        <v>550000</v>
      </c>
      <c r="I30" s="336">
        <f t="shared" si="0"/>
        <v>550000</v>
      </c>
    </row>
    <row r="31" spans="1:9" ht="15.75">
      <c r="A31" s="57"/>
      <c r="B31" s="386" t="s">
        <v>317</v>
      </c>
      <c r="C31" s="387"/>
      <c r="D31" s="54" t="s">
        <v>318</v>
      </c>
      <c r="E31" s="384" t="s">
        <v>146</v>
      </c>
      <c r="F31" s="54">
        <v>1</v>
      </c>
      <c r="G31" s="20">
        <v>1375000</v>
      </c>
      <c r="H31" s="22">
        <v>1375000</v>
      </c>
      <c r="I31" s="336">
        <f t="shared" si="0"/>
        <v>1375000</v>
      </c>
    </row>
    <row r="32" spans="1:9" ht="15.75">
      <c r="A32" s="57" t="s">
        <v>147</v>
      </c>
      <c r="B32" s="388" t="s">
        <v>327</v>
      </c>
      <c r="C32" s="387"/>
      <c r="D32" s="54"/>
      <c r="E32" s="390"/>
      <c r="F32" s="54"/>
      <c r="G32" s="20"/>
      <c r="H32" s="22">
        <v>0</v>
      </c>
      <c r="I32" s="336">
        <f t="shared" si="0"/>
        <v>0</v>
      </c>
    </row>
    <row r="33" spans="1:9" ht="15.75">
      <c r="A33" s="57">
        <v>1</v>
      </c>
      <c r="B33" s="385" t="s">
        <v>328</v>
      </c>
      <c r="C33" s="54"/>
      <c r="D33" s="54"/>
      <c r="E33" s="384"/>
      <c r="F33" s="54"/>
      <c r="G33" s="20"/>
      <c r="H33" s="22">
        <v>0</v>
      </c>
      <c r="I33" s="336">
        <f t="shared" si="0"/>
        <v>0</v>
      </c>
    </row>
    <row r="34" spans="1:9" ht="15.75">
      <c r="A34" s="57"/>
      <c r="B34" s="386" t="s">
        <v>329</v>
      </c>
      <c r="C34" s="387"/>
      <c r="D34" s="54" t="s">
        <v>192</v>
      </c>
      <c r="E34" s="384" t="s">
        <v>330</v>
      </c>
      <c r="F34" s="54">
        <v>1</v>
      </c>
      <c r="G34" s="20">
        <v>1650000.0000000002</v>
      </c>
      <c r="H34" s="22">
        <v>1650000.0000000002</v>
      </c>
      <c r="I34" s="336">
        <f t="shared" si="0"/>
        <v>1650000.0000000002</v>
      </c>
    </row>
    <row r="35" spans="1:9" ht="15.75">
      <c r="A35" s="57">
        <v>2</v>
      </c>
      <c r="B35" s="385" t="s">
        <v>331</v>
      </c>
      <c r="C35" s="54"/>
      <c r="D35" s="54"/>
      <c r="E35" s="384"/>
      <c r="F35" s="54"/>
      <c r="G35" s="20"/>
      <c r="H35" s="22">
        <v>0</v>
      </c>
      <c r="I35" s="336">
        <f t="shared" si="0"/>
        <v>0</v>
      </c>
    </row>
    <row r="36" spans="1:9" ht="15.75">
      <c r="A36" s="57"/>
      <c r="B36" s="386" t="s">
        <v>332</v>
      </c>
      <c r="C36" s="387"/>
      <c r="D36" s="54" t="s">
        <v>333</v>
      </c>
      <c r="E36" s="384" t="s">
        <v>111</v>
      </c>
      <c r="F36" s="54">
        <v>1</v>
      </c>
      <c r="G36" s="20">
        <v>13200000.000000002</v>
      </c>
      <c r="H36" s="22">
        <v>13200000.000000002</v>
      </c>
      <c r="I36" s="336">
        <f t="shared" si="0"/>
        <v>13200000.000000002</v>
      </c>
    </row>
    <row r="37" spans="1:9" ht="15.75">
      <c r="A37" s="57">
        <v>3</v>
      </c>
      <c r="B37" s="385" t="s">
        <v>334</v>
      </c>
      <c r="C37" s="54"/>
      <c r="D37" s="54"/>
      <c r="E37" s="384"/>
      <c r="F37" s="54"/>
      <c r="G37" s="20"/>
      <c r="H37" s="22">
        <v>0</v>
      </c>
      <c r="I37" s="336">
        <f t="shared" si="0"/>
        <v>0</v>
      </c>
    </row>
    <row r="38" spans="1:9" ht="15.75">
      <c r="A38" s="57"/>
      <c r="B38" s="386" t="s">
        <v>335</v>
      </c>
      <c r="C38" s="387"/>
      <c r="D38" s="54" t="s">
        <v>192</v>
      </c>
      <c r="E38" s="384" t="s">
        <v>204</v>
      </c>
      <c r="F38" s="54">
        <v>15.37</v>
      </c>
      <c r="G38" s="20">
        <v>148500</v>
      </c>
      <c r="H38" s="22">
        <v>2282445</v>
      </c>
      <c r="I38" s="336">
        <f t="shared" si="0"/>
        <v>2282445</v>
      </c>
    </row>
    <row r="39" spans="1:9" ht="15.75">
      <c r="A39" s="57"/>
      <c r="B39" s="386" t="s">
        <v>336</v>
      </c>
      <c r="C39" s="387"/>
      <c r="D39" s="54" t="s">
        <v>192</v>
      </c>
      <c r="E39" s="384" t="s">
        <v>204</v>
      </c>
      <c r="F39" s="54">
        <v>11.8</v>
      </c>
      <c r="G39" s="20">
        <v>148500</v>
      </c>
      <c r="H39" s="22">
        <v>1752300</v>
      </c>
      <c r="I39" s="336">
        <f t="shared" si="0"/>
        <v>1752300</v>
      </c>
    </row>
    <row r="40" spans="1:9" ht="15.75">
      <c r="A40" s="57"/>
      <c r="B40" s="386" t="s">
        <v>337</v>
      </c>
      <c r="C40" s="387"/>
      <c r="D40" s="54" t="s">
        <v>192</v>
      </c>
      <c r="E40" s="384" t="s">
        <v>111</v>
      </c>
      <c r="F40" s="54">
        <v>2</v>
      </c>
      <c r="G40" s="20">
        <v>132000</v>
      </c>
      <c r="H40" s="22">
        <v>264000</v>
      </c>
      <c r="I40" s="336">
        <f t="shared" si="0"/>
        <v>264000</v>
      </c>
    </row>
    <row r="41" spans="1:9" ht="15.75">
      <c r="A41" s="57"/>
      <c r="B41" s="386" t="s">
        <v>338</v>
      </c>
      <c r="C41" s="387"/>
      <c r="D41" s="54" t="s">
        <v>192</v>
      </c>
      <c r="E41" s="384" t="s">
        <v>111</v>
      </c>
      <c r="F41" s="54">
        <v>1</v>
      </c>
      <c r="G41" s="20">
        <v>165000</v>
      </c>
      <c r="H41" s="22">
        <v>165000</v>
      </c>
      <c r="I41" s="336">
        <f t="shared" si="0"/>
        <v>165000</v>
      </c>
    </row>
    <row r="42" spans="1:9" ht="15.75">
      <c r="A42" s="57"/>
      <c r="B42" s="386" t="s">
        <v>339</v>
      </c>
      <c r="C42" s="387"/>
      <c r="D42" s="54" t="s">
        <v>192</v>
      </c>
      <c r="E42" s="384" t="s">
        <v>204</v>
      </c>
      <c r="F42" s="54">
        <v>2</v>
      </c>
      <c r="G42" s="20">
        <v>275000</v>
      </c>
      <c r="H42" s="22">
        <v>550000</v>
      </c>
      <c r="I42" s="336">
        <f t="shared" si="0"/>
        <v>550000</v>
      </c>
    </row>
    <row r="43" spans="1:9" ht="28.5">
      <c r="A43" s="57" t="s">
        <v>302</v>
      </c>
      <c r="B43" s="101" t="s">
        <v>340</v>
      </c>
      <c r="C43" s="101"/>
      <c r="D43" s="101"/>
      <c r="E43" s="101"/>
      <c r="F43" s="101"/>
      <c r="G43" s="19"/>
      <c r="H43" s="22"/>
      <c r="I43" s="336">
        <f t="shared" si="0"/>
        <v>0</v>
      </c>
    </row>
    <row r="44" spans="1:9" ht="15.75">
      <c r="A44" s="57" t="s">
        <v>101</v>
      </c>
      <c r="B44" s="101" t="s">
        <v>341</v>
      </c>
      <c r="C44" s="383"/>
      <c r="D44" s="54"/>
      <c r="E44" s="384"/>
      <c r="F44" s="54"/>
      <c r="G44" s="20"/>
      <c r="H44" s="22"/>
      <c r="I44" s="336">
        <f t="shared" si="0"/>
        <v>0</v>
      </c>
    </row>
    <row r="45" spans="1:9" ht="15.75">
      <c r="A45" s="57">
        <v>1</v>
      </c>
      <c r="B45" s="385" t="s">
        <v>342</v>
      </c>
      <c r="C45" s="54"/>
      <c r="D45" s="54"/>
      <c r="E45" s="384"/>
      <c r="F45" s="54"/>
      <c r="G45" s="20"/>
      <c r="H45" s="22"/>
      <c r="I45" s="336">
        <f t="shared" si="0"/>
        <v>0</v>
      </c>
    </row>
    <row r="46" spans="1:9" ht="15.75">
      <c r="A46" s="57"/>
      <c r="B46" s="386" t="s">
        <v>343</v>
      </c>
      <c r="C46" s="391"/>
      <c r="D46" s="54"/>
      <c r="E46" s="384" t="s">
        <v>142</v>
      </c>
      <c r="F46" s="54">
        <v>1</v>
      </c>
      <c r="G46" s="18">
        <v>434320</v>
      </c>
      <c r="H46" s="22">
        <v>2605920</v>
      </c>
      <c r="I46" s="336">
        <f t="shared" si="0"/>
        <v>434320</v>
      </c>
    </row>
    <row r="47" spans="1:9" ht="15.75">
      <c r="A47" s="58"/>
      <c r="B47" s="392" t="s">
        <v>326</v>
      </c>
      <c r="C47" s="398"/>
      <c r="D47" s="393" t="s">
        <v>312</v>
      </c>
      <c r="E47" s="394" t="s">
        <v>313</v>
      </c>
      <c r="F47" s="393">
        <v>2</v>
      </c>
      <c r="G47" s="20">
        <v>275000</v>
      </c>
      <c r="H47" s="22">
        <v>550000</v>
      </c>
      <c r="I47" s="336">
        <f t="shared" si="0"/>
        <v>550000</v>
      </c>
    </row>
    <row r="48" spans="1:9" ht="15.75">
      <c r="A48" s="57" t="s">
        <v>126</v>
      </c>
      <c r="B48" s="101" t="s">
        <v>344</v>
      </c>
      <c r="C48" s="383"/>
      <c r="D48" s="54"/>
      <c r="E48" s="384"/>
      <c r="F48" s="54"/>
      <c r="G48" s="46"/>
      <c r="H48" s="47"/>
      <c r="I48" s="336">
        <f t="shared" si="0"/>
        <v>0</v>
      </c>
    </row>
    <row r="49" spans="1:9" ht="28.5">
      <c r="A49" s="57"/>
      <c r="B49" s="378" t="s">
        <v>345</v>
      </c>
      <c r="C49" s="101"/>
      <c r="D49" s="101"/>
      <c r="E49" s="54"/>
      <c r="F49" s="54"/>
      <c r="G49" s="48">
        <v>88923360</v>
      </c>
      <c r="H49" s="47"/>
      <c r="I49" s="336">
        <f t="shared" si="0"/>
        <v>0</v>
      </c>
    </row>
    <row r="50" spans="1:9" ht="15.75">
      <c r="A50" s="57">
        <v>1</v>
      </c>
      <c r="B50" s="378" t="s">
        <v>346</v>
      </c>
      <c r="C50" s="101"/>
      <c r="D50" s="101"/>
      <c r="E50" s="54"/>
      <c r="F50" s="54"/>
      <c r="G50" s="49"/>
      <c r="H50" s="47"/>
      <c r="I50" s="336">
        <f t="shared" si="0"/>
        <v>0</v>
      </c>
    </row>
    <row r="51" spans="1:9" ht="45">
      <c r="A51" s="57"/>
      <c r="B51" s="407" t="s">
        <v>347</v>
      </c>
      <c r="C51" s="391"/>
      <c r="D51" s="101"/>
      <c r="E51" s="54" t="s">
        <v>134</v>
      </c>
      <c r="F51" s="54">
        <v>1</v>
      </c>
      <c r="G51" s="49">
        <v>434320</v>
      </c>
      <c r="H51" s="47">
        <v>2605920</v>
      </c>
      <c r="I51" s="336">
        <f t="shared" si="0"/>
        <v>434320</v>
      </c>
    </row>
    <row r="52" spans="1:9" ht="15.75">
      <c r="A52" s="57">
        <v>2</v>
      </c>
      <c r="B52" s="378" t="s">
        <v>348</v>
      </c>
      <c r="C52" s="391"/>
      <c r="D52" s="101"/>
      <c r="E52" s="57"/>
      <c r="F52" s="57"/>
      <c r="G52" s="48"/>
      <c r="H52" s="47">
        <v>0</v>
      </c>
      <c r="I52" s="336">
        <f t="shared" si="0"/>
        <v>0</v>
      </c>
    </row>
    <row r="53" spans="1:9" ht="15.75">
      <c r="A53" s="379" t="s">
        <v>349</v>
      </c>
      <c r="B53" s="378" t="s">
        <v>350</v>
      </c>
      <c r="C53" s="391"/>
      <c r="D53" s="101"/>
      <c r="E53" s="57"/>
      <c r="F53" s="57"/>
      <c r="G53" s="48"/>
      <c r="H53" s="47">
        <v>0</v>
      </c>
      <c r="I53" s="336">
        <f t="shared" si="0"/>
        <v>0</v>
      </c>
    </row>
    <row r="54" spans="1:9" ht="75">
      <c r="A54" s="379"/>
      <c r="B54" s="407" t="s">
        <v>351</v>
      </c>
      <c r="C54" s="391"/>
      <c r="D54" s="101"/>
      <c r="E54" s="54" t="s">
        <v>352</v>
      </c>
      <c r="F54" s="54">
        <v>4</v>
      </c>
      <c r="G54" s="49">
        <v>434320</v>
      </c>
      <c r="H54" s="47">
        <v>6949120</v>
      </c>
      <c r="I54" s="336">
        <f t="shared" si="0"/>
        <v>1737280</v>
      </c>
    </row>
    <row r="55" spans="1:9" ht="15.75">
      <c r="A55" s="379" t="s">
        <v>349</v>
      </c>
      <c r="B55" s="378" t="s">
        <v>353</v>
      </c>
      <c r="C55" s="391"/>
      <c r="D55" s="101"/>
      <c r="E55" s="57"/>
      <c r="F55" s="57"/>
      <c r="G55" s="48"/>
      <c r="H55" s="47">
        <v>0</v>
      </c>
      <c r="I55" s="336">
        <f t="shared" si="0"/>
        <v>0</v>
      </c>
    </row>
    <row r="56" spans="1:9" ht="75">
      <c r="A56" s="57"/>
      <c r="B56" s="407" t="s">
        <v>354</v>
      </c>
      <c r="C56" s="391"/>
      <c r="D56" s="101"/>
      <c r="E56" s="54" t="s">
        <v>146</v>
      </c>
      <c r="F56" s="54">
        <v>4</v>
      </c>
      <c r="G56" s="49">
        <v>434320</v>
      </c>
      <c r="H56" s="47">
        <v>7817760</v>
      </c>
      <c r="I56" s="336">
        <f t="shared" si="0"/>
        <v>1737280</v>
      </c>
    </row>
    <row r="57" spans="1:9" ht="15.75">
      <c r="A57" s="379" t="s">
        <v>349</v>
      </c>
      <c r="B57" s="378" t="s">
        <v>355</v>
      </c>
      <c r="C57" s="391"/>
      <c r="D57" s="101"/>
      <c r="E57" s="57"/>
      <c r="F57" s="57"/>
      <c r="G57" s="48"/>
      <c r="H57" s="47">
        <v>0</v>
      </c>
      <c r="I57" s="336">
        <f t="shared" si="0"/>
        <v>0</v>
      </c>
    </row>
    <row r="58" spans="1:9" ht="60">
      <c r="A58" s="57"/>
      <c r="B58" s="407" t="s">
        <v>356</v>
      </c>
      <c r="C58" s="391"/>
      <c r="D58" s="101"/>
      <c r="E58" s="54" t="s">
        <v>357</v>
      </c>
      <c r="F58" s="54">
        <v>4</v>
      </c>
      <c r="G58" s="49">
        <v>434320</v>
      </c>
      <c r="H58" s="47">
        <v>10423680</v>
      </c>
      <c r="I58" s="336">
        <f t="shared" si="0"/>
        <v>1737280</v>
      </c>
    </row>
    <row r="59" spans="1:9" ht="15.75">
      <c r="A59" s="379" t="s">
        <v>349</v>
      </c>
      <c r="B59" s="378" t="s">
        <v>358</v>
      </c>
      <c r="C59" s="391"/>
      <c r="D59" s="101"/>
      <c r="E59" s="57"/>
      <c r="F59" s="57"/>
      <c r="G59" s="48"/>
      <c r="H59" s="47">
        <v>0</v>
      </c>
      <c r="I59" s="336">
        <f t="shared" si="0"/>
        <v>0</v>
      </c>
    </row>
    <row r="60" spans="1:9" ht="45">
      <c r="A60" s="57"/>
      <c r="B60" s="407" t="s">
        <v>359</v>
      </c>
      <c r="C60" s="391"/>
      <c r="D60" s="101"/>
      <c r="E60" s="54" t="s">
        <v>146</v>
      </c>
      <c r="F60" s="54">
        <v>4</v>
      </c>
      <c r="G60" s="49">
        <v>434320</v>
      </c>
      <c r="H60" s="47">
        <v>3474560</v>
      </c>
      <c r="I60" s="336">
        <f t="shared" si="0"/>
        <v>1737280</v>
      </c>
    </row>
    <row r="61" spans="1:9" ht="15.75">
      <c r="A61" s="379" t="s">
        <v>360</v>
      </c>
      <c r="B61" s="378" t="s">
        <v>361</v>
      </c>
      <c r="C61" s="407"/>
      <c r="D61" s="407"/>
      <c r="E61" s="407"/>
      <c r="F61" s="407"/>
      <c r="G61" s="50"/>
      <c r="H61" s="50"/>
      <c r="I61" s="336">
        <f t="shared" si="0"/>
        <v>0</v>
      </c>
    </row>
    <row r="62" spans="1:9" ht="30">
      <c r="A62" s="57"/>
      <c r="B62" s="407" t="s">
        <v>362</v>
      </c>
      <c r="C62" s="391"/>
      <c r="D62" s="101"/>
      <c r="E62" s="54" t="s">
        <v>357</v>
      </c>
      <c r="F62" s="54">
        <v>1</v>
      </c>
      <c r="G62" s="49">
        <v>434320</v>
      </c>
      <c r="H62" s="47">
        <v>2171600</v>
      </c>
      <c r="I62" s="336">
        <f t="shared" si="0"/>
        <v>434320</v>
      </c>
    </row>
    <row r="63" spans="1:9" ht="15.75">
      <c r="A63" s="57">
        <v>3</v>
      </c>
      <c r="B63" s="378" t="s">
        <v>363</v>
      </c>
      <c r="C63" s="391"/>
      <c r="D63" s="101"/>
      <c r="E63" s="57"/>
      <c r="F63" s="57"/>
      <c r="G63" s="48"/>
      <c r="H63" s="47">
        <v>0</v>
      </c>
      <c r="I63" s="336">
        <f t="shared" si="0"/>
        <v>0</v>
      </c>
    </row>
    <row r="64" spans="1:9" ht="15.75">
      <c r="A64" s="379" t="s">
        <v>349</v>
      </c>
      <c r="B64" s="378" t="s">
        <v>364</v>
      </c>
      <c r="C64" s="391"/>
      <c r="D64" s="101"/>
      <c r="E64" s="57"/>
      <c r="F64" s="57"/>
      <c r="G64" s="48"/>
      <c r="H64" s="47">
        <v>0</v>
      </c>
      <c r="I64" s="336">
        <f t="shared" si="0"/>
        <v>0</v>
      </c>
    </row>
    <row r="65" spans="1:9" ht="30">
      <c r="A65" s="57"/>
      <c r="B65" s="407" t="s">
        <v>365</v>
      </c>
      <c r="C65" s="391"/>
      <c r="D65" s="101"/>
      <c r="E65" s="54" t="s">
        <v>357</v>
      </c>
      <c r="F65" s="54">
        <v>2</v>
      </c>
      <c r="G65" s="49">
        <v>434320</v>
      </c>
      <c r="H65" s="47">
        <v>1737280</v>
      </c>
      <c r="I65" s="336">
        <f t="shared" si="0"/>
        <v>868640</v>
      </c>
    </row>
    <row r="66" spans="1:9" ht="15.75">
      <c r="A66" s="379" t="s">
        <v>349</v>
      </c>
      <c r="B66" s="378" t="s">
        <v>366</v>
      </c>
      <c r="C66" s="391"/>
      <c r="D66" s="101"/>
      <c r="E66" s="54"/>
      <c r="F66" s="54"/>
      <c r="G66" s="49"/>
      <c r="H66" s="47">
        <v>0</v>
      </c>
      <c r="I66" s="336">
        <f t="shared" si="0"/>
        <v>0</v>
      </c>
    </row>
    <row r="67" spans="1:9" ht="60">
      <c r="A67" s="57"/>
      <c r="B67" s="407" t="s">
        <v>367</v>
      </c>
      <c r="C67" s="408"/>
      <c r="D67" s="101"/>
      <c r="E67" s="54" t="s">
        <v>357</v>
      </c>
      <c r="F67" s="54">
        <v>1</v>
      </c>
      <c r="G67" s="49">
        <v>514840</v>
      </c>
      <c r="H67" s="47">
        <v>2059360</v>
      </c>
      <c r="I67" s="336">
        <f t="shared" si="0"/>
        <v>514840</v>
      </c>
    </row>
    <row r="68" spans="1:9" ht="15.75">
      <c r="A68" s="378" t="s">
        <v>349</v>
      </c>
      <c r="B68" s="378" t="s">
        <v>368</v>
      </c>
      <c r="C68" s="408"/>
      <c r="D68" s="101"/>
      <c r="E68" s="54"/>
      <c r="F68" s="54"/>
      <c r="G68" s="49"/>
      <c r="H68" s="47">
        <v>0</v>
      </c>
      <c r="I68" s="336">
        <f t="shared" si="0"/>
        <v>0</v>
      </c>
    </row>
    <row r="69" spans="1:9" ht="15.75">
      <c r="A69" s="57"/>
      <c r="B69" s="407" t="s">
        <v>369</v>
      </c>
      <c r="C69" s="391"/>
      <c r="D69" s="409"/>
      <c r="E69" s="410" t="s">
        <v>357</v>
      </c>
      <c r="F69" s="54">
        <v>1</v>
      </c>
      <c r="G69" s="49">
        <v>434320</v>
      </c>
      <c r="H69" s="47">
        <v>1302960</v>
      </c>
      <c r="I69" s="336">
        <f t="shared" si="0"/>
        <v>434320</v>
      </c>
    </row>
    <row r="70" spans="1:9" ht="15.75">
      <c r="A70" s="379" t="s">
        <v>349</v>
      </c>
      <c r="B70" s="378" t="s">
        <v>370</v>
      </c>
      <c r="C70" s="391"/>
      <c r="D70" s="101"/>
      <c r="E70" s="57"/>
      <c r="F70" s="57"/>
      <c r="G70" s="48"/>
      <c r="H70" s="47">
        <v>0</v>
      </c>
      <c r="I70" s="336">
        <f t="shared" si="0"/>
        <v>0</v>
      </c>
    </row>
    <row r="71" spans="1:9" ht="75">
      <c r="A71" s="57"/>
      <c r="B71" s="407" t="s">
        <v>371</v>
      </c>
      <c r="C71" s="391"/>
      <c r="D71" s="101"/>
      <c r="E71" s="54" t="s">
        <v>357</v>
      </c>
      <c r="F71" s="54">
        <v>4</v>
      </c>
      <c r="G71" s="49">
        <v>434320</v>
      </c>
      <c r="H71" s="47">
        <v>8686400</v>
      </c>
      <c r="I71" s="336">
        <f t="shared" si="0"/>
        <v>1737280</v>
      </c>
    </row>
    <row r="72" spans="1:9" ht="15.75">
      <c r="A72" s="57">
        <v>4</v>
      </c>
      <c r="B72" s="378" t="s">
        <v>372</v>
      </c>
      <c r="C72" s="391"/>
      <c r="D72" s="101"/>
      <c r="E72" s="57"/>
      <c r="F72" s="57"/>
      <c r="G72" s="48"/>
      <c r="H72" s="47">
        <v>0</v>
      </c>
      <c r="I72" s="336">
        <f t="shared" si="0"/>
        <v>0</v>
      </c>
    </row>
    <row r="73" spans="1:9" ht="15.75">
      <c r="A73" s="379" t="s">
        <v>349</v>
      </c>
      <c r="B73" s="101" t="s">
        <v>373</v>
      </c>
      <c r="C73" s="391"/>
      <c r="D73" s="57"/>
      <c r="E73" s="396"/>
      <c r="F73" s="57"/>
      <c r="G73" s="51"/>
      <c r="H73" s="47"/>
      <c r="I73" s="336">
        <f t="shared" si="0"/>
        <v>0</v>
      </c>
    </row>
    <row r="74" spans="1:9" ht="60">
      <c r="A74" s="54"/>
      <c r="B74" s="397" t="s">
        <v>374</v>
      </c>
      <c r="C74" s="391"/>
      <c r="D74" s="54"/>
      <c r="E74" s="384" t="s">
        <v>357</v>
      </c>
      <c r="F74" s="54">
        <v>4</v>
      </c>
      <c r="G74" s="49">
        <v>434320</v>
      </c>
      <c r="H74" s="47">
        <v>15635520</v>
      </c>
      <c r="I74" s="336">
        <f t="shared" si="0"/>
        <v>1737280</v>
      </c>
    </row>
    <row r="75" spans="1:9" ht="15.75">
      <c r="A75" s="379">
        <v>5</v>
      </c>
      <c r="B75" s="111" t="s">
        <v>375</v>
      </c>
      <c r="C75" s="391"/>
      <c r="D75" s="57"/>
      <c r="E75" s="396"/>
      <c r="F75" s="57"/>
      <c r="G75" s="51"/>
      <c r="H75" s="47">
        <v>0</v>
      </c>
      <c r="I75" s="336">
        <f t="shared" si="0"/>
        <v>0</v>
      </c>
    </row>
    <row r="76" spans="1:9" ht="15.75">
      <c r="A76" s="379" t="s">
        <v>349</v>
      </c>
      <c r="B76" s="101" t="s">
        <v>376</v>
      </c>
      <c r="C76" s="391"/>
      <c r="D76" s="57"/>
      <c r="E76" s="396"/>
      <c r="F76" s="57"/>
      <c r="G76" s="51"/>
      <c r="H76" s="47">
        <v>0</v>
      </c>
      <c r="I76" s="336">
        <f t="shared" ref="I76:I139" si="1">F76*G76</f>
        <v>0</v>
      </c>
    </row>
    <row r="77" spans="1:9" ht="15.75">
      <c r="A77" s="54"/>
      <c r="B77" s="397" t="s">
        <v>369</v>
      </c>
      <c r="C77" s="391"/>
      <c r="D77" s="54"/>
      <c r="E77" s="384" t="s">
        <v>146</v>
      </c>
      <c r="F77" s="54">
        <v>1</v>
      </c>
      <c r="G77" s="49">
        <v>434320</v>
      </c>
      <c r="H77" s="47">
        <v>4343200</v>
      </c>
      <c r="I77" s="336">
        <f t="shared" si="1"/>
        <v>434320</v>
      </c>
    </row>
    <row r="78" spans="1:9" ht="15.75">
      <c r="A78" s="57">
        <v>6</v>
      </c>
      <c r="B78" s="111" t="s">
        <v>377</v>
      </c>
      <c r="C78" s="391"/>
      <c r="D78" s="57"/>
      <c r="E78" s="396"/>
      <c r="F78" s="57"/>
      <c r="G78" s="51"/>
      <c r="H78" s="47">
        <v>0</v>
      </c>
      <c r="I78" s="336">
        <f t="shared" si="1"/>
        <v>0</v>
      </c>
    </row>
    <row r="79" spans="1:9" ht="15.75">
      <c r="A79" s="379" t="s">
        <v>349</v>
      </c>
      <c r="B79" s="385" t="s">
        <v>378</v>
      </c>
      <c r="C79" s="391"/>
      <c r="D79" s="57"/>
      <c r="E79" s="396"/>
      <c r="F79" s="57"/>
      <c r="G79" s="51"/>
      <c r="H79" s="47">
        <v>0</v>
      </c>
      <c r="I79" s="336">
        <f t="shared" si="1"/>
        <v>0</v>
      </c>
    </row>
    <row r="80" spans="1:9" ht="15.75">
      <c r="A80" s="54"/>
      <c r="B80" s="386" t="s">
        <v>379</v>
      </c>
      <c r="C80" s="391"/>
      <c r="D80" s="54"/>
      <c r="E80" s="384" t="s">
        <v>357</v>
      </c>
      <c r="F80" s="54">
        <v>1</v>
      </c>
      <c r="G80" s="49">
        <v>434320</v>
      </c>
      <c r="H80" s="47">
        <v>6080480</v>
      </c>
      <c r="I80" s="336">
        <f t="shared" si="1"/>
        <v>434320</v>
      </c>
    </row>
    <row r="81" spans="1:9" ht="15.75">
      <c r="A81" s="57">
        <v>7</v>
      </c>
      <c r="B81" s="385" t="s">
        <v>380</v>
      </c>
      <c r="C81" s="391"/>
      <c r="D81" s="57"/>
      <c r="E81" s="396"/>
      <c r="F81" s="57"/>
      <c r="G81" s="51"/>
      <c r="H81" s="47"/>
      <c r="I81" s="336">
        <f t="shared" si="1"/>
        <v>0</v>
      </c>
    </row>
    <row r="82" spans="1:9" ht="45">
      <c r="A82" s="411" t="s">
        <v>349</v>
      </c>
      <c r="B82" s="386" t="s">
        <v>381</v>
      </c>
      <c r="C82" s="391"/>
      <c r="D82" s="54"/>
      <c r="E82" s="384" t="s">
        <v>303</v>
      </c>
      <c r="F82" s="54">
        <v>1</v>
      </c>
      <c r="G82" s="49">
        <v>434320</v>
      </c>
      <c r="H82" s="47">
        <v>13898240</v>
      </c>
      <c r="I82" s="336">
        <f t="shared" si="1"/>
        <v>434320</v>
      </c>
    </row>
    <row r="83" spans="1:9" ht="15.75">
      <c r="A83" s="411" t="s">
        <v>349</v>
      </c>
      <c r="B83" s="386" t="s">
        <v>382</v>
      </c>
      <c r="C83" s="391"/>
      <c r="D83" s="54"/>
      <c r="E83" s="384" t="s">
        <v>383</v>
      </c>
      <c r="F83" s="54">
        <v>1</v>
      </c>
      <c r="G83" s="49">
        <v>434320</v>
      </c>
      <c r="H83" s="47">
        <v>868640</v>
      </c>
      <c r="I83" s="336">
        <f t="shared" si="1"/>
        <v>434320</v>
      </c>
    </row>
    <row r="84" spans="1:9" ht="15.75">
      <c r="A84" s="411" t="s">
        <v>349</v>
      </c>
      <c r="B84" s="412" t="s">
        <v>384</v>
      </c>
      <c r="C84" s="391"/>
      <c r="D84" s="54"/>
      <c r="E84" s="410" t="s">
        <v>383</v>
      </c>
      <c r="F84" s="54">
        <v>1</v>
      </c>
      <c r="G84" s="49">
        <v>434320</v>
      </c>
      <c r="H84" s="47">
        <v>868640</v>
      </c>
      <c r="I84" s="336">
        <f t="shared" si="1"/>
        <v>434320</v>
      </c>
    </row>
    <row r="85" spans="1:9" ht="15.75">
      <c r="A85" s="57" t="s">
        <v>147</v>
      </c>
      <c r="B85" s="111" t="s">
        <v>385</v>
      </c>
      <c r="C85" s="391"/>
      <c r="D85" s="57"/>
      <c r="E85" s="396"/>
      <c r="F85" s="57"/>
      <c r="G85" s="51"/>
      <c r="H85" s="47">
        <v>0</v>
      </c>
      <c r="I85" s="336">
        <f t="shared" si="1"/>
        <v>0</v>
      </c>
    </row>
    <row r="86" spans="1:9" ht="15.75">
      <c r="A86" s="379" t="s">
        <v>349</v>
      </c>
      <c r="B86" s="111" t="s">
        <v>386</v>
      </c>
      <c r="C86" s="391"/>
      <c r="D86" s="57"/>
      <c r="E86" s="396"/>
      <c r="F86" s="57"/>
      <c r="G86" s="51"/>
      <c r="H86" s="47">
        <v>0</v>
      </c>
      <c r="I86" s="336">
        <f t="shared" si="1"/>
        <v>0</v>
      </c>
    </row>
    <row r="87" spans="1:9" ht="30">
      <c r="A87" s="57"/>
      <c r="B87" s="386" t="s">
        <v>387</v>
      </c>
      <c r="C87" s="391"/>
      <c r="D87" s="57"/>
      <c r="E87" s="384" t="s">
        <v>134</v>
      </c>
      <c r="F87" s="54">
        <v>2</v>
      </c>
      <c r="G87" s="49">
        <v>434320</v>
      </c>
      <c r="H87" s="47">
        <v>5211840</v>
      </c>
      <c r="I87" s="336">
        <f t="shared" si="1"/>
        <v>868640</v>
      </c>
    </row>
    <row r="88" spans="1:9" ht="16.5">
      <c r="A88" s="379" t="s">
        <v>349</v>
      </c>
      <c r="B88" s="385" t="s">
        <v>388</v>
      </c>
      <c r="C88" s="391"/>
      <c r="D88" s="57"/>
      <c r="E88" s="396"/>
      <c r="F88" s="57"/>
      <c r="G88" s="24"/>
      <c r="H88" s="53"/>
      <c r="I88" s="336">
        <f t="shared" si="1"/>
        <v>0</v>
      </c>
    </row>
    <row r="89" spans="1:9" ht="45">
      <c r="A89" s="54"/>
      <c r="B89" s="386" t="s">
        <v>389</v>
      </c>
      <c r="C89" s="391"/>
      <c r="D89" s="54"/>
      <c r="E89" s="384" t="s">
        <v>134</v>
      </c>
      <c r="F89" s="54">
        <v>1</v>
      </c>
      <c r="G89" s="55">
        <v>514840</v>
      </c>
      <c r="H89" s="56">
        <v>12356160</v>
      </c>
      <c r="I89" s="336">
        <f t="shared" si="1"/>
        <v>514840</v>
      </c>
    </row>
    <row r="90" spans="1:9" ht="16.5">
      <c r="A90" s="54"/>
      <c r="B90" s="111" t="s">
        <v>390</v>
      </c>
      <c r="C90" s="391"/>
      <c r="D90" s="54"/>
      <c r="E90" s="384"/>
      <c r="F90" s="54"/>
      <c r="G90" s="55"/>
      <c r="H90" s="56"/>
      <c r="I90" s="336">
        <f t="shared" si="1"/>
        <v>0</v>
      </c>
    </row>
    <row r="91" spans="1:9" ht="28.5">
      <c r="A91" s="54"/>
      <c r="B91" s="111" t="s">
        <v>391</v>
      </c>
      <c r="C91" s="391"/>
      <c r="D91" s="54"/>
      <c r="E91" s="384"/>
      <c r="F91" s="54"/>
      <c r="G91" s="55"/>
      <c r="H91" s="56"/>
      <c r="I91" s="336">
        <f t="shared" si="1"/>
        <v>0</v>
      </c>
    </row>
    <row r="92" spans="1:9" ht="30">
      <c r="A92" s="54"/>
      <c r="B92" s="386" t="s">
        <v>392</v>
      </c>
      <c r="C92" s="391"/>
      <c r="D92" s="54"/>
      <c r="E92" s="384" t="s">
        <v>141</v>
      </c>
      <c r="F92" s="54">
        <v>1</v>
      </c>
      <c r="G92" s="28">
        <v>434320</v>
      </c>
      <c r="H92" s="56">
        <v>7817760</v>
      </c>
      <c r="I92" s="336">
        <f t="shared" si="1"/>
        <v>434320</v>
      </c>
    </row>
    <row r="93" spans="1:9" ht="16.5">
      <c r="A93" s="57" t="s">
        <v>153</v>
      </c>
      <c r="B93" s="111" t="s">
        <v>393</v>
      </c>
      <c r="C93" s="391"/>
      <c r="D93" s="54"/>
      <c r="E93" s="384"/>
      <c r="F93" s="54"/>
      <c r="G93" s="28"/>
      <c r="H93" s="56"/>
      <c r="I93" s="336">
        <f t="shared" si="1"/>
        <v>0</v>
      </c>
    </row>
    <row r="94" spans="1:9" ht="16.5">
      <c r="A94" s="54"/>
      <c r="B94" s="386" t="s">
        <v>394</v>
      </c>
      <c r="C94" s="391"/>
      <c r="D94" s="54"/>
      <c r="E94" s="384" t="s">
        <v>63</v>
      </c>
      <c r="F94" s="54">
        <v>1</v>
      </c>
      <c r="G94" s="28">
        <v>401990</v>
      </c>
      <c r="H94" s="56">
        <v>200995</v>
      </c>
      <c r="I94" s="336">
        <f t="shared" si="1"/>
        <v>401990</v>
      </c>
    </row>
    <row r="95" spans="1:9" ht="45">
      <c r="A95" s="54">
        <v>2</v>
      </c>
      <c r="B95" s="386" t="s">
        <v>395</v>
      </c>
      <c r="C95" s="391"/>
      <c r="D95" s="54"/>
      <c r="E95" s="384" t="s">
        <v>357</v>
      </c>
      <c r="F95" s="54">
        <v>18</v>
      </c>
      <c r="G95" s="28">
        <v>369660</v>
      </c>
      <c r="H95" s="56">
        <v>2661552</v>
      </c>
      <c r="I95" s="336">
        <f t="shared" si="1"/>
        <v>6653880</v>
      </c>
    </row>
    <row r="96" spans="1:9" ht="30">
      <c r="A96" s="54">
        <v>3</v>
      </c>
      <c r="B96" s="386" t="s">
        <v>396</v>
      </c>
      <c r="C96" s="391"/>
      <c r="D96" s="54"/>
      <c r="E96" s="384" t="s">
        <v>63</v>
      </c>
      <c r="F96" s="54">
        <v>1</v>
      </c>
      <c r="G96" s="28">
        <v>401990</v>
      </c>
      <c r="H96" s="56">
        <v>200995</v>
      </c>
      <c r="I96" s="336">
        <f t="shared" si="1"/>
        <v>401990</v>
      </c>
    </row>
    <row r="97" spans="1:9" ht="30">
      <c r="A97" s="54">
        <v>4</v>
      </c>
      <c r="B97" s="386" t="s">
        <v>397</v>
      </c>
      <c r="C97" s="391"/>
      <c r="D97" s="54"/>
      <c r="E97" s="384" t="s">
        <v>303</v>
      </c>
      <c r="F97" s="54">
        <v>1</v>
      </c>
      <c r="G97" s="28">
        <v>401990</v>
      </c>
      <c r="H97" s="56">
        <v>1607960</v>
      </c>
      <c r="I97" s="336">
        <f t="shared" si="1"/>
        <v>401990</v>
      </c>
    </row>
    <row r="98" spans="1:9" ht="45">
      <c r="A98" s="54">
        <v>5</v>
      </c>
      <c r="B98" s="386" t="s">
        <v>398</v>
      </c>
      <c r="C98" s="391"/>
      <c r="D98" s="54"/>
      <c r="E98" s="384" t="s">
        <v>399</v>
      </c>
      <c r="F98" s="54">
        <v>6</v>
      </c>
      <c r="G98" s="28">
        <v>401990</v>
      </c>
      <c r="H98" s="56">
        <v>12542088.000000002</v>
      </c>
      <c r="I98" s="336">
        <f t="shared" si="1"/>
        <v>2411940</v>
      </c>
    </row>
    <row r="99" spans="1:9" ht="16.5">
      <c r="A99" s="379" t="s">
        <v>400</v>
      </c>
      <c r="B99" s="381" t="s">
        <v>305</v>
      </c>
      <c r="C99" s="391"/>
      <c r="D99" s="57"/>
      <c r="E99" s="396"/>
      <c r="F99" s="57"/>
      <c r="G99" s="30"/>
      <c r="H99" s="56"/>
      <c r="I99" s="336">
        <f t="shared" si="1"/>
        <v>0</v>
      </c>
    </row>
    <row r="100" spans="1:9" ht="16.5">
      <c r="A100" s="57">
        <v>1</v>
      </c>
      <c r="B100" s="111" t="s">
        <v>1852</v>
      </c>
      <c r="C100" s="391"/>
      <c r="D100" s="57"/>
      <c r="E100" s="396"/>
      <c r="F100" s="57"/>
      <c r="G100" s="31"/>
      <c r="H100" s="56"/>
      <c r="I100" s="336">
        <f t="shared" si="1"/>
        <v>0</v>
      </c>
    </row>
    <row r="101" spans="1:9" ht="16.5">
      <c r="A101" s="57"/>
      <c r="B101" s="385" t="s">
        <v>1851</v>
      </c>
      <c r="C101" s="391"/>
      <c r="D101" s="57"/>
      <c r="E101" s="396"/>
      <c r="F101" s="57"/>
      <c r="G101" s="31"/>
      <c r="H101" s="56"/>
      <c r="I101" s="336">
        <f t="shared" si="1"/>
        <v>0</v>
      </c>
    </row>
    <row r="102" spans="1:9" ht="16.5">
      <c r="A102" s="54"/>
      <c r="B102" s="386" t="s">
        <v>58</v>
      </c>
      <c r="C102" s="391"/>
      <c r="D102" s="54" t="s">
        <v>401</v>
      </c>
      <c r="E102" s="384" t="s">
        <v>296</v>
      </c>
      <c r="F102" s="54">
        <v>2</v>
      </c>
      <c r="G102" s="32">
        <v>88000</v>
      </c>
      <c r="H102" s="56">
        <v>176000</v>
      </c>
      <c r="I102" s="336">
        <f t="shared" si="1"/>
        <v>176000</v>
      </c>
    </row>
    <row r="103" spans="1:9" ht="16.5">
      <c r="A103" s="54"/>
      <c r="B103" s="397" t="s">
        <v>402</v>
      </c>
      <c r="C103" s="391"/>
      <c r="D103" s="54" t="s">
        <v>401</v>
      </c>
      <c r="E103" s="384" t="s">
        <v>204</v>
      </c>
      <c r="F103" s="54">
        <v>4</v>
      </c>
      <c r="G103" s="32">
        <v>71500</v>
      </c>
      <c r="H103" s="56">
        <v>286000</v>
      </c>
      <c r="I103" s="336">
        <f t="shared" si="1"/>
        <v>286000</v>
      </c>
    </row>
    <row r="104" spans="1:9" ht="16.5">
      <c r="A104" s="54"/>
      <c r="B104" s="386" t="s">
        <v>403</v>
      </c>
      <c r="C104" s="391"/>
      <c r="D104" s="54" t="s">
        <v>401</v>
      </c>
      <c r="E104" s="384" t="s">
        <v>204</v>
      </c>
      <c r="F104" s="54">
        <v>8</v>
      </c>
      <c r="G104" s="32">
        <v>44000</v>
      </c>
      <c r="H104" s="56">
        <v>352000</v>
      </c>
      <c r="I104" s="336">
        <f t="shared" si="1"/>
        <v>352000</v>
      </c>
    </row>
    <row r="105" spans="1:9" ht="16.5">
      <c r="A105" s="54"/>
      <c r="B105" s="386" t="s">
        <v>404</v>
      </c>
      <c r="C105" s="391"/>
      <c r="D105" s="54" t="s">
        <v>401</v>
      </c>
      <c r="E105" s="384" t="s">
        <v>204</v>
      </c>
      <c r="F105" s="54">
        <v>10</v>
      </c>
      <c r="G105" s="32">
        <v>22000</v>
      </c>
      <c r="H105" s="56">
        <v>220000</v>
      </c>
      <c r="I105" s="336">
        <f t="shared" si="1"/>
        <v>220000</v>
      </c>
    </row>
    <row r="106" spans="1:9" ht="16.5">
      <c r="A106" s="54"/>
      <c r="B106" s="386" t="s">
        <v>405</v>
      </c>
      <c r="C106" s="391"/>
      <c r="D106" s="54" t="s">
        <v>401</v>
      </c>
      <c r="E106" s="384" t="s">
        <v>204</v>
      </c>
      <c r="F106" s="54">
        <v>4</v>
      </c>
      <c r="G106" s="32">
        <v>44000</v>
      </c>
      <c r="H106" s="56">
        <v>176000</v>
      </c>
      <c r="I106" s="336">
        <f t="shared" si="1"/>
        <v>176000</v>
      </c>
    </row>
    <row r="107" spans="1:9" ht="16.5">
      <c r="A107" s="54"/>
      <c r="B107" s="386" t="s">
        <v>406</v>
      </c>
      <c r="C107" s="391"/>
      <c r="D107" s="54" t="s">
        <v>401</v>
      </c>
      <c r="E107" s="384" t="s">
        <v>93</v>
      </c>
      <c r="F107" s="54">
        <v>10</v>
      </c>
      <c r="G107" s="32">
        <v>132000</v>
      </c>
      <c r="H107" s="56">
        <v>1320000</v>
      </c>
      <c r="I107" s="336">
        <f t="shared" si="1"/>
        <v>1320000</v>
      </c>
    </row>
    <row r="108" spans="1:9" ht="16.5">
      <c r="A108" s="54"/>
      <c r="B108" s="386" t="s">
        <v>407</v>
      </c>
      <c r="C108" s="391"/>
      <c r="D108" s="54" t="s">
        <v>401</v>
      </c>
      <c r="E108" s="384" t="s">
        <v>170</v>
      </c>
      <c r="F108" s="54">
        <v>20</v>
      </c>
      <c r="G108" s="32">
        <v>27500.000000000004</v>
      </c>
      <c r="H108" s="56">
        <v>550000.00000000012</v>
      </c>
      <c r="I108" s="336">
        <f t="shared" si="1"/>
        <v>550000.00000000012</v>
      </c>
    </row>
    <row r="109" spans="1:9" ht="16.5">
      <c r="A109" s="54"/>
      <c r="B109" s="386" t="s">
        <v>408</v>
      </c>
      <c r="C109" s="391"/>
      <c r="D109" s="54" t="s">
        <v>401</v>
      </c>
      <c r="E109" s="384" t="s">
        <v>170</v>
      </c>
      <c r="F109" s="54">
        <v>6</v>
      </c>
      <c r="G109" s="32">
        <v>93500.000000000015</v>
      </c>
      <c r="H109" s="56">
        <v>561000.00000000012</v>
      </c>
      <c r="I109" s="336">
        <f t="shared" si="1"/>
        <v>561000.00000000012</v>
      </c>
    </row>
    <row r="110" spans="1:9" ht="16.5">
      <c r="A110" s="54"/>
      <c r="B110" s="386" t="s">
        <v>409</v>
      </c>
      <c r="C110" s="387"/>
      <c r="D110" s="54" t="s">
        <v>401</v>
      </c>
      <c r="E110" s="384" t="s">
        <v>204</v>
      </c>
      <c r="F110" s="54">
        <v>4</v>
      </c>
      <c r="G110" s="32">
        <v>66000</v>
      </c>
      <c r="H110" s="56">
        <v>264000</v>
      </c>
      <c r="I110" s="336">
        <f t="shared" si="1"/>
        <v>264000</v>
      </c>
    </row>
    <row r="111" spans="1:9" ht="16.5">
      <c r="A111" s="54"/>
      <c r="B111" s="386" t="s">
        <v>410</v>
      </c>
      <c r="C111" s="387"/>
      <c r="D111" s="54" t="s">
        <v>401</v>
      </c>
      <c r="E111" s="384" t="s">
        <v>63</v>
      </c>
      <c r="F111" s="54">
        <v>2</v>
      </c>
      <c r="G111" s="32">
        <v>330000</v>
      </c>
      <c r="H111" s="56">
        <v>660000</v>
      </c>
      <c r="I111" s="336">
        <f t="shared" si="1"/>
        <v>660000</v>
      </c>
    </row>
    <row r="112" spans="1:9" ht="16.5">
      <c r="A112" s="54"/>
      <c r="B112" s="386" t="s">
        <v>411</v>
      </c>
      <c r="C112" s="387"/>
      <c r="D112" s="54" t="s">
        <v>401</v>
      </c>
      <c r="E112" s="384" t="s">
        <v>412</v>
      </c>
      <c r="F112" s="54">
        <v>4</v>
      </c>
      <c r="G112" s="32">
        <v>16500</v>
      </c>
      <c r="H112" s="56">
        <v>66000</v>
      </c>
      <c r="I112" s="336">
        <f t="shared" si="1"/>
        <v>66000</v>
      </c>
    </row>
    <row r="113" spans="1:9" ht="16.5">
      <c r="A113" s="54"/>
      <c r="B113" s="386" t="s">
        <v>413</v>
      </c>
      <c r="C113" s="387"/>
      <c r="D113" s="54" t="s">
        <v>401</v>
      </c>
      <c r="E113" s="384" t="s">
        <v>93</v>
      </c>
      <c r="F113" s="54">
        <v>2</v>
      </c>
      <c r="G113" s="32">
        <v>385000.00000000006</v>
      </c>
      <c r="H113" s="56">
        <v>770000.00000000012</v>
      </c>
      <c r="I113" s="336">
        <f t="shared" si="1"/>
        <v>770000.00000000012</v>
      </c>
    </row>
    <row r="114" spans="1:9" ht="16.5">
      <c r="A114" s="54"/>
      <c r="B114" s="386" t="s">
        <v>414</v>
      </c>
      <c r="C114" s="387"/>
      <c r="D114" s="54" t="s">
        <v>401</v>
      </c>
      <c r="E114" s="384" t="s">
        <v>204</v>
      </c>
      <c r="F114" s="54">
        <v>0.1</v>
      </c>
      <c r="G114" s="33">
        <v>110000.00000000001</v>
      </c>
      <c r="H114" s="45">
        <v>11000.000000000002</v>
      </c>
      <c r="I114" s="336">
        <f t="shared" si="1"/>
        <v>11000.000000000002</v>
      </c>
    </row>
    <row r="115" spans="1:9" ht="30">
      <c r="A115" s="54"/>
      <c r="B115" s="386" t="s">
        <v>415</v>
      </c>
      <c r="C115" s="387"/>
      <c r="D115" s="57"/>
      <c r="E115" s="384" t="s">
        <v>416</v>
      </c>
      <c r="F115" s="54">
        <v>6</v>
      </c>
      <c r="G115" s="60">
        <v>1881000</v>
      </c>
      <c r="H115" s="61">
        <v>11286000</v>
      </c>
      <c r="I115" s="336">
        <f t="shared" si="1"/>
        <v>11286000</v>
      </c>
    </row>
    <row r="116" spans="1:9" ht="16.5">
      <c r="A116" s="54"/>
      <c r="B116" s="386" t="s">
        <v>417</v>
      </c>
      <c r="C116" s="387"/>
      <c r="D116" s="54" t="s">
        <v>418</v>
      </c>
      <c r="E116" s="384" t="s">
        <v>146</v>
      </c>
      <c r="F116" s="54">
        <v>1</v>
      </c>
      <c r="G116" s="60"/>
      <c r="H116" s="61"/>
      <c r="I116" s="336">
        <f t="shared" si="1"/>
        <v>0</v>
      </c>
    </row>
    <row r="117" spans="1:9" ht="16.5">
      <c r="A117" s="54"/>
      <c r="B117" s="386" t="s">
        <v>419</v>
      </c>
      <c r="C117" s="384"/>
      <c r="D117" s="54" t="s">
        <v>418</v>
      </c>
      <c r="E117" s="384" t="s">
        <v>146</v>
      </c>
      <c r="F117" s="54">
        <v>4</v>
      </c>
      <c r="G117" s="60">
        <v>11265100</v>
      </c>
      <c r="H117" s="61">
        <v>45060400</v>
      </c>
      <c r="I117" s="336">
        <f t="shared" si="1"/>
        <v>45060400</v>
      </c>
    </row>
    <row r="118" spans="1:9" ht="30">
      <c r="A118" s="54"/>
      <c r="B118" s="386" t="s">
        <v>420</v>
      </c>
      <c r="C118" s="384"/>
      <c r="D118" s="54" t="s">
        <v>418</v>
      </c>
      <c r="E118" s="384" t="s">
        <v>146</v>
      </c>
      <c r="F118" s="54">
        <v>0</v>
      </c>
      <c r="G118" s="62"/>
      <c r="H118" s="61">
        <v>0</v>
      </c>
      <c r="I118" s="336">
        <f t="shared" si="1"/>
        <v>0</v>
      </c>
    </row>
    <row r="119" spans="1:9" ht="16.5">
      <c r="A119" s="54"/>
      <c r="B119" s="386" t="s">
        <v>421</v>
      </c>
      <c r="C119" s="384"/>
      <c r="D119" s="54" t="s">
        <v>418</v>
      </c>
      <c r="E119" s="384" t="s">
        <v>146</v>
      </c>
      <c r="F119" s="54">
        <v>0</v>
      </c>
      <c r="G119" s="62"/>
      <c r="H119" s="61"/>
      <c r="I119" s="336">
        <f t="shared" si="1"/>
        <v>0</v>
      </c>
    </row>
    <row r="120" spans="1:9" ht="16.5">
      <c r="A120" s="54"/>
      <c r="B120" s="386" t="s">
        <v>235</v>
      </c>
      <c r="C120" s="384"/>
      <c r="D120" s="54" t="s">
        <v>418</v>
      </c>
      <c r="E120" s="384" t="s">
        <v>146</v>
      </c>
      <c r="F120" s="54">
        <v>4</v>
      </c>
      <c r="G120" s="62">
        <v>1883520.0000000002</v>
      </c>
      <c r="H120" s="61">
        <v>7534080.0000000009</v>
      </c>
      <c r="I120" s="336">
        <f t="shared" si="1"/>
        <v>7534080.0000000009</v>
      </c>
    </row>
    <row r="121" spans="1:9" ht="16.5">
      <c r="A121" s="54"/>
      <c r="B121" s="386" t="s">
        <v>72</v>
      </c>
      <c r="C121" s="384"/>
      <c r="D121" s="54" t="s">
        <v>418</v>
      </c>
      <c r="E121" s="384" t="s">
        <v>10</v>
      </c>
      <c r="F121" s="54">
        <v>1</v>
      </c>
      <c r="G121" s="62">
        <v>5119200</v>
      </c>
      <c r="H121" s="61">
        <v>5119200</v>
      </c>
      <c r="I121" s="336">
        <f t="shared" si="1"/>
        <v>5119200</v>
      </c>
    </row>
    <row r="122" spans="1:9" ht="16.5">
      <c r="A122" s="54"/>
      <c r="B122" s="386" t="s">
        <v>422</v>
      </c>
      <c r="C122" s="384"/>
      <c r="D122" s="54" t="s">
        <v>418</v>
      </c>
      <c r="E122" s="384" t="s">
        <v>10</v>
      </c>
      <c r="F122" s="54">
        <v>4</v>
      </c>
      <c r="G122" s="62">
        <v>196560</v>
      </c>
      <c r="H122" s="61">
        <v>786240</v>
      </c>
      <c r="I122" s="336">
        <f t="shared" si="1"/>
        <v>786240</v>
      </c>
    </row>
    <row r="123" spans="1:9" ht="16.5">
      <c r="A123" s="54"/>
      <c r="B123" s="386" t="s">
        <v>423</v>
      </c>
      <c r="C123" s="384"/>
      <c r="D123" s="54" t="s">
        <v>418</v>
      </c>
      <c r="E123" s="384" t="s">
        <v>10</v>
      </c>
      <c r="F123" s="54">
        <v>4</v>
      </c>
      <c r="G123" s="62">
        <v>606960</v>
      </c>
      <c r="H123" s="61">
        <v>2427840</v>
      </c>
      <c r="I123" s="336">
        <f t="shared" si="1"/>
        <v>2427840</v>
      </c>
    </row>
    <row r="124" spans="1:9" ht="16.5">
      <c r="A124" s="54"/>
      <c r="B124" s="386" t="s">
        <v>424</v>
      </c>
      <c r="C124" s="384"/>
      <c r="D124" s="54" t="s">
        <v>418</v>
      </c>
      <c r="E124" s="384" t="s">
        <v>10</v>
      </c>
      <c r="F124" s="54">
        <v>1</v>
      </c>
      <c r="G124" s="62">
        <v>4229280</v>
      </c>
      <c r="H124" s="61">
        <v>4229280</v>
      </c>
      <c r="I124" s="336">
        <f t="shared" si="1"/>
        <v>4229280</v>
      </c>
    </row>
    <row r="125" spans="1:9" ht="16.5">
      <c r="A125" s="54"/>
      <c r="B125" s="386" t="s">
        <v>425</v>
      </c>
      <c r="C125" s="384"/>
      <c r="D125" s="54" t="s">
        <v>418</v>
      </c>
      <c r="E125" s="384" t="s">
        <v>10</v>
      </c>
      <c r="F125" s="54">
        <v>1</v>
      </c>
      <c r="G125" s="62">
        <v>5146200</v>
      </c>
      <c r="H125" s="61">
        <v>5146200</v>
      </c>
      <c r="I125" s="336">
        <f t="shared" si="1"/>
        <v>5146200</v>
      </c>
    </row>
    <row r="126" spans="1:9" ht="16.5">
      <c r="A126" s="54"/>
      <c r="B126" s="386" t="s">
        <v>73</v>
      </c>
      <c r="C126" s="384"/>
      <c r="D126" s="54" t="s">
        <v>418</v>
      </c>
      <c r="E126" s="384" t="s">
        <v>10</v>
      </c>
      <c r="F126" s="54">
        <v>1</v>
      </c>
      <c r="G126" s="62">
        <v>2720520</v>
      </c>
      <c r="H126" s="61">
        <v>2720520</v>
      </c>
      <c r="I126" s="336">
        <f t="shared" si="1"/>
        <v>2720520</v>
      </c>
    </row>
    <row r="127" spans="1:9" ht="16.5">
      <c r="A127" s="54"/>
      <c r="B127" s="386" t="s">
        <v>426</v>
      </c>
      <c r="C127" s="384"/>
      <c r="D127" s="54" t="s">
        <v>418</v>
      </c>
      <c r="E127" s="384" t="s">
        <v>10</v>
      </c>
      <c r="F127" s="54">
        <v>1</v>
      </c>
      <c r="G127" s="62">
        <v>5101920</v>
      </c>
      <c r="H127" s="61">
        <v>5101920</v>
      </c>
      <c r="I127" s="336">
        <f t="shared" si="1"/>
        <v>5101920</v>
      </c>
    </row>
    <row r="128" spans="1:9" ht="16.5">
      <c r="A128" s="54"/>
      <c r="B128" s="386" t="s">
        <v>427</v>
      </c>
      <c r="C128" s="384"/>
      <c r="D128" s="54" t="s">
        <v>418</v>
      </c>
      <c r="E128" s="384" t="s">
        <v>10</v>
      </c>
      <c r="F128" s="54">
        <v>1</v>
      </c>
      <c r="G128" s="62">
        <v>8712360</v>
      </c>
      <c r="H128" s="61">
        <v>8712360</v>
      </c>
      <c r="I128" s="336">
        <f t="shared" si="1"/>
        <v>8712360</v>
      </c>
    </row>
    <row r="129" spans="1:9" ht="16.5">
      <c r="A129" s="54"/>
      <c r="B129" s="386" t="s">
        <v>428</v>
      </c>
      <c r="C129" s="384"/>
      <c r="D129" s="54" t="s">
        <v>418</v>
      </c>
      <c r="E129" s="384" t="s">
        <v>10</v>
      </c>
      <c r="F129" s="54">
        <v>1</v>
      </c>
      <c r="G129" s="62">
        <v>1359720</v>
      </c>
      <c r="H129" s="61">
        <v>1359720</v>
      </c>
      <c r="I129" s="336">
        <f t="shared" si="1"/>
        <v>1359720</v>
      </c>
    </row>
    <row r="130" spans="1:9" ht="16.5">
      <c r="A130" s="54" t="s">
        <v>429</v>
      </c>
      <c r="B130" s="386" t="s">
        <v>430</v>
      </c>
      <c r="C130" s="384"/>
      <c r="D130" s="54" t="s">
        <v>418</v>
      </c>
      <c r="E130" s="384" t="s">
        <v>10</v>
      </c>
      <c r="F130" s="54">
        <v>1</v>
      </c>
      <c r="G130" s="62">
        <v>178740000</v>
      </c>
      <c r="H130" s="61">
        <v>178740000</v>
      </c>
      <c r="I130" s="336">
        <f t="shared" si="1"/>
        <v>178740000</v>
      </c>
    </row>
    <row r="131" spans="1:9" ht="16.5">
      <c r="A131" s="54" t="s">
        <v>139</v>
      </c>
      <c r="B131" s="386" t="s">
        <v>431</v>
      </c>
      <c r="C131" s="384"/>
      <c r="D131" s="54" t="s">
        <v>418</v>
      </c>
      <c r="E131" s="384" t="s">
        <v>10</v>
      </c>
      <c r="F131" s="54">
        <v>4</v>
      </c>
      <c r="G131" s="62">
        <v>3112560</v>
      </c>
      <c r="H131" s="61">
        <v>12450240</v>
      </c>
      <c r="I131" s="336">
        <f t="shared" si="1"/>
        <v>12450240</v>
      </c>
    </row>
    <row r="132" spans="1:9" ht="16.5">
      <c r="A132" s="54"/>
      <c r="B132" s="386" t="s">
        <v>432</v>
      </c>
      <c r="C132" s="384"/>
      <c r="D132" s="54" t="s">
        <v>418</v>
      </c>
      <c r="E132" s="384" t="s">
        <v>10</v>
      </c>
      <c r="F132" s="54">
        <v>2</v>
      </c>
      <c r="G132" s="62">
        <v>10332360</v>
      </c>
      <c r="H132" s="61">
        <v>20664720</v>
      </c>
      <c r="I132" s="336">
        <f t="shared" si="1"/>
        <v>20664720</v>
      </c>
    </row>
    <row r="133" spans="1:9" ht="16.5">
      <c r="A133" s="399"/>
      <c r="B133" s="400" t="s">
        <v>433</v>
      </c>
      <c r="C133" s="401"/>
      <c r="D133" s="399" t="s">
        <v>401</v>
      </c>
      <c r="E133" s="401" t="s">
        <v>170</v>
      </c>
      <c r="F133" s="399">
        <v>3</v>
      </c>
      <c r="G133" s="34">
        <v>605000</v>
      </c>
      <c r="H133" s="53">
        <v>1815000</v>
      </c>
      <c r="I133" s="336">
        <f t="shared" si="1"/>
        <v>1815000</v>
      </c>
    </row>
    <row r="134" spans="1:9" ht="16.5">
      <c r="A134" s="54"/>
      <c r="B134" s="386" t="s">
        <v>434</v>
      </c>
      <c r="C134" s="384"/>
      <c r="D134" s="54" t="s">
        <v>401</v>
      </c>
      <c r="E134" s="384" t="s">
        <v>435</v>
      </c>
      <c r="F134" s="54">
        <v>2</v>
      </c>
      <c r="G134" s="35">
        <v>385000.00000000006</v>
      </c>
      <c r="H134" s="56">
        <v>770000.00000000012</v>
      </c>
      <c r="I134" s="336">
        <f t="shared" si="1"/>
        <v>770000.00000000012</v>
      </c>
    </row>
    <row r="135" spans="1:9" ht="16.5">
      <c r="A135" s="54"/>
      <c r="B135" s="386" t="s">
        <v>436</v>
      </c>
      <c r="C135" s="384"/>
      <c r="D135" s="54" t="s">
        <v>401</v>
      </c>
      <c r="E135" s="384" t="s">
        <v>170</v>
      </c>
      <c r="F135" s="54">
        <v>3</v>
      </c>
      <c r="G135" s="35">
        <v>27500.000000000004</v>
      </c>
      <c r="H135" s="56">
        <v>82500.000000000015</v>
      </c>
      <c r="I135" s="336">
        <f t="shared" si="1"/>
        <v>82500.000000000015</v>
      </c>
    </row>
    <row r="136" spans="1:9" ht="16.5">
      <c r="A136" s="54"/>
      <c r="B136" s="386" t="s">
        <v>437</v>
      </c>
      <c r="C136" s="402"/>
      <c r="D136" s="54" t="s">
        <v>401</v>
      </c>
      <c r="E136" s="384" t="s">
        <v>146</v>
      </c>
      <c r="F136" s="54">
        <v>100</v>
      </c>
      <c r="G136" s="35">
        <v>17600</v>
      </c>
      <c r="H136" s="56">
        <v>1760000</v>
      </c>
      <c r="I136" s="336">
        <f t="shared" si="1"/>
        <v>1760000</v>
      </c>
    </row>
    <row r="137" spans="1:9" ht="16.5">
      <c r="A137" s="54"/>
      <c r="B137" s="386" t="s">
        <v>438</v>
      </c>
      <c r="C137" s="384"/>
      <c r="D137" s="54" t="s">
        <v>401</v>
      </c>
      <c r="E137" s="384" t="s">
        <v>63</v>
      </c>
      <c r="F137" s="54">
        <v>10</v>
      </c>
      <c r="G137" s="35">
        <v>55000.000000000007</v>
      </c>
      <c r="H137" s="56">
        <v>550000.00000000012</v>
      </c>
      <c r="I137" s="336">
        <f t="shared" si="1"/>
        <v>550000.00000000012</v>
      </c>
    </row>
    <row r="138" spans="1:9" ht="30">
      <c r="A138" s="54"/>
      <c r="B138" s="386" t="s">
        <v>439</v>
      </c>
      <c r="C138" s="384"/>
      <c r="D138" s="54" t="s">
        <v>318</v>
      </c>
      <c r="E138" s="384" t="s">
        <v>146</v>
      </c>
      <c r="F138" s="54">
        <v>1</v>
      </c>
      <c r="G138" s="32">
        <v>19250000</v>
      </c>
      <c r="H138" s="56">
        <v>19250000</v>
      </c>
      <c r="I138" s="336">
        <f t="shared" si="1"/>
        <v>19250000</v>
      </c>
    </row>
    <row r="139" spans="1:9" ht="16.5">
      <c r="A139" s="54"/>
      <c r="B139" s="386" t="s">
        <v>440</v>
      </c>
      <c r="C139" s="384"/>
      <c r="D139" s="54" t="s">
        <v>441</v>
      </c>
      <c r="E139" s="384" t="s">
        <v>442</v>
      </c>
      <c r="F139" s="54">
        <v>8</v>
      </c>
      <c r="G139" s="35">
        <v>7150000.0000000009</v>
      </c>
      <c r="H139" s="56">
        <v>57200000.000000007</v>
      </c>
      <c r="I139" s="336">
        <f t="shared" si="1"/>
        <v>57200000.000000007</v>
      </c>
    </row>
    <row r="140" spans="1:9" ht="16.5">
      <c r="A140" s="57" t="s">
        <v>101</v>
      </c>
      <c r="B140" s="111" t="s">
        <v>443</v>
      </c>
      <c r="C140" s="384"/>
      <c r="D140" s="54"/>
      <c r="E140" s="384"/>
      <c r="F140" s="54"/>
      <c r="G140" s="35"/>
      <c r="H140" s="56">
        <v>0</v>
      </c>
      <c r="I140" s="336">
        <f t="shared" ref="I140:I147" si="2">F140*G140</f>
        <v>0</v>
      </c>
    </row>
    <row r="141" spans="1:9" ht="16.5">
      <c r="A141" s="54"/>
      <c r="B141" s="386" t="s">
        <v>444</v>
      </c>
      <c r="C141" s="384"/>
      <c r="D141" s="54" t="s">
        <v>401</v>
      </c>
      <c r="E141" s="384" t="s">
        <v>204</v>
      </c>
      <c r="F141" s="54">
        <v>0.5</v>
      </c>
      <c r="G141" s="35">
        <v>550000</v>
      </c>
      <c r="H141" s="56">
        <v>275000</v>
      </c>
      <c r="I141" s="336">
        <f t="shared" si="2"/>
        <v>275000</v>
      </c>
    </row>
    <row r="142" spans="1:9" ht="16.5">
      <c r="A142" s="54"/>
      <c r="B142" s="386" t="s">
        <v>445</v>
      </c>
      <c r="C142" s="384"/>
      <c r="D142" s="54" t="s">
        <v>401</v>
      </c>
      <c r="E142" s="384" t="s">
        <v>296</v>
      </c>
      <c r="F142" s="54">
        <v>3</v>
      </c>
      <c r="G142" s="35">
        <v>385000.00000000006</v>
      </c>
      <c r="H142" s="56">
        <v>1155000.0000000002</v>
      </c>
      <c r="I142" s="336">
        <f t="shared" si="2"/>
        <v>1155000.0000000002</v>
      </c>
    </row>
    <row r="143" spans="1:9" ht="16.5">
      <c r="A143" s="54"/>
      <c r="B143" s="382" t="s">
        <v>52</v>
      </c>
      <c r="C143" s="384"/>
      <c r="D143" s="54" t="s">
        <v>401</v>
      </c>
      <c r="E143" s="384" t="s">
        <v>446</v>
      </c>
      <c r="F143" s="54">
        <v>3</v>
      </c>
      <c r="G143" s="35">
        <v>27500.000000000004</v>
      </c>
      <c r="H143" s="56">
        <v>82500.000000000015</v>
      </c>
      <c r="I143" s="336">
        <f t="shared" si="2"/>
        <v>82500.000000000015</v>
      </c>
    </row>
    <row r="144" spans="1:9" ht="16.5">
      <c r="A144" s="54"/>
      <c r="B144" s="386" t="s">
        <v>447</v>
      </c>
      <c r="C144" s="384"/>
      <c r="D144" s="54" t="s">
        <v>401</v>
      </c>
      <c r="E144" s="384" t="s">
        <v>448</v>
      </c>
      <c r="F144" s="54">
        <v>18</v>
      </c>
      <c r="G144" s="35">
        <v>1320000</v>
      </c>
      <c r="H144" s="56">
        <v>23760000</v>
      </c>
      <c r="I144" s="336">
        <f t="shared" si="2"/>
        <v>23760000</v>
      </c>
    </row>
    <row r="145" spans="1:9" ht="16.5">
      <c r="A145" s="54"/>
      <c r="B145" s="386" t="s">
        <v>449</v>
      </c>
      <c r="C145" s="384"/>
      <c r="D145" s="54" t="s">
        <v>401</v>
      </c>
      <c r="E145" s="384" t="s">
        <v>146</v>
      </c>
      <c r="F145" s="54">
        <v>36</v>
      </c>
      <c r="G145" s="35">
        <v>16500</v>
      </c>
      <c r="H145" s="56">
        <v>594000</v>
      </c>
      <c r="I145" s="336">
        <f t="shared" si="2"/>
        <v>594000</v>
      </c>
    </row>
    <row r="146" spans="1:9" ht="16.5">
      <c r="A146" s="54"/>
      <c r="B146" s="386" t="s">
        <v>450</v>
      </c>
      <c r="C146" s="384"/>
      <c r="D146" s="54" t="s">
        <v>401</v>
      </c>
      <c r="E146" s="384" t="s">
        <v>204</v>
      </c>
      <c r="F146" s="54">
        <v>5.5</v>
      </c>
      <c r="G146" s="35">
        <v>66000</v>
      </c>
      <c r="H146" s="56">
        <v>363000</v>
      </c>
      <c r="I146" s="336">
        <f t="shared" si="2"/>
        <v>363000</v>
      </c>
    </row>
    <row r="147" spans="1:9" ht="16.5">
      <c r="A147" s="403"/>
      <c r="B147" s="404" t="s">
        <v>449</v>
      </c>
      <c r="C147" s="405"/>
      <c r="D147" s="403" t="s">
        <v>401</v>
      </c>
      <c r="E147" s="406" t="s">
        <v>146</v>
      </c>
      <c r="F147" s="403">
        <v>24</v>
      </c>
      <c r="G147" s="36">
        <v>16500</v>
      </c>
      <c r="H147" s="56">
        <v>396000</v>
      </c>
      <c r="I147" s="336">
        <f t="shared" si="2"/>
        <v>396000</v>
      </c>
    </row>
  </sheetData>
  <mergeCells count="6">
    <mergeCell ref="A7:F7"/>
    <mergeCell ref="A1:B1"/>
    <mergeCell ref="A2:B2"/>
    <mergeCell ref="A4:F4"/>
    <mergeCell ref="A5:F5"/>
    <mergeCell ref="A6:F6"/>
  </mergeCells>
  <pageMargins left="0.54" right="0.23" top="0.62" bottom="0.62"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6"/>
  <sheetViews>
    <sheetView zoomScaleNormal="100" workbookViewId="0">
      <selection activeCell="B9" sqref="B9"/>
    </sheetView>
  </sheetViews>
  <sheetFormatPr defaultColWidth="8.7109375" defaultRowHeight="15.75"/>
  <cols>
    <col min="1" max="1" width="5.42578125" style="40" customWidth="1"/>
    <col min="2" max="2" width="48.85546875" style="40" customWidth="1"/>
    <col min="3" max="3" width="17.85546875" style="40" bestFit="1" customWidth="1"/>
    <col min="4" max="4" width="10" style="40" customWidth="1"/>
    <col min="5" max="5" width="7.5703125" style="40" customWidth="1"/>
    <col min="6" max="6" width="7.42578125" style="40" customWidth="1"/>
    <col min="7" max="7" width="12.7109375" style="40" hidden="1" customWidth="1"/>
    <col min="8" max="8" width="12.140625" style="40" hidden="1" customWidth="1"/>
    <col min="9" max="9" width="0.140625" style="40" hidden="1" customWidth="1"/>
    <col min="10" max="10" width="14" style="40" hidden="1" customWidth="1"/>
    <col min="11" max="16384" width="8.7109375" style="40"/>
  </cols>
  <sheetData>
    <row r="1" spans="1:10" s="38" customFormat="1">
      <c r="A1" s="851" t="s">
        <v>83</v>
      </c>
      <c r="B1" s="851"/>
      <c r="C1" s="37"/>
      <c r="D1" s="37"/>
      <c r="E1" s="37"/>
    </row>
    <row r="2" spans="1:10" s="38" customFormat="1">
      <c r="A2" s="852" t="s">
        <v>0</v>
      </c>
      <c r="B2" s="852"/>
      <c r="C2" s="37"/>
      <c r="D2" s="37"/>
      <c r="E2" s="37"/>
    </row>
    <row r="3" spans="1:10" s="38" customFormat="1">
      <c r="A3" s="37"/>
      <c r="B3" s="37"/>
      <c r="C3" s="37"/>
      <c r="D3" s="37"/>
      <c r="E3" s="37"/>
    </row>
    <row r="4" spans="1:10" s="38" customFormat="1" ht="18" customHeight="1">
      <c r="A4" s="853" t="s">
        <v>452</v>
      </c>
      <c r="B4" s="853"/>
      <c r="C4" s="853"/>
      <c r="D4" s="853"/>
      <c r="E4" s="853"/>
      <c r="F4" s="853"/>
    </row>
    <row r="5" spans="1:10" s="38" customFormat="1" ht="18.75">
      <c r="A5" s="853" t="s">
        <v>84</v>
      </c>
      <c r="B5" s="853"/>
      <c r="C5" s="853"/>
      <c r="D5" s="853"/>
      <c r="E5" s="853"/>
      <c r="F5" s="853"/>
    </row>
    <row r="6" spans="1:10" s="38" customFormat="1" ht="18.75">
      <c r="A6" s="853" t="s">
        <v>453</v>
      </c>
      <c r="B6" s="853"/>
      <c r="C6" s="853"/>
      <c r="D6" s="853"/>
      <c r="E6" s="853"/>
      <c r="F6" s="853"/>
    </row>
    <row r="7" spans="1:10" s="38" customFormat="1" ht="16.5">
      <c r="A7" s="844" t="s">
        <v>1926</v>
      </c>
      <c r="B7" s="844"/>
      <c r="C7" s="844"/>
      <c r="D7" s="844"/>
      <c r="E7" s="844"/>
      <c r="F7" s="844"/>
    </row>
    <row r="8" spans="1:10" s="38" customFormat="1" ht="15"/>
    <row r="9" spans="1:10" s="38" customFormat="1" ht="33" customHeight="1">
      <c r="A9" s="39" t="s">
        <v>1</v>
      </c>
      <c r="B9" s="39" t="s">
        <v>2</v>
      </c>
      <c r="C9" s="39" t="s">
        <v>3</v>
      </c>
      <c r="D9" s="39" t="s">
        <v>4</v>
      </c>
      <c r="E9" s="39" t="s">
        <v>88</v>
      </c>
      <c r="F9" s="39" t="s">
        <v>5</v>
      </c>
      <c r="G9" s="40"/>
      <c r="H9" s="40"/>
    </row>
    <row r="10" spans="1:10">
      <c r="A10" s="23" t="s">
        <v>6</v>
      </c>
      <c r="B10" s="783" t="s">
        <v>1834</v>
      </c>
      <c r="C10" s="23"/>
      <c r="D10" s="23"/>
      <c r="E10" s="23"/>
      <c r="F10" s="23"/>
      <c r="G10" s="23"/>
      <c r="H10" s="81"/>
    </row>
    <row r="11" spans="1:10">
      <c r="A11" s="29" t="s">
        <v>89</v>
      </c>
      <c r="B11" s="79" t="s">
        <v>456</v>
      </c>
      <c r="C11" s="29"/>
      <c r="D11" s="29"/>
      <c r="E11" s="29"/>
      <c r="F11" s="29"/>
      <c r="G11" s="29"/>
      <c r="H11" s="82"/>
    </row>
    <row r="12" spans="1:10">
      <c r="A12" s="25">
        <v>1</v>
      </c>
      <c r="B12" s="26" t="s">
        <v>457</v>
      </c>
      <c r="C12" s="25"/>
      <c r="D12" s="25"/>
      <c r="E12" s="25"/>
      <c r="F12" s="25"/>
      <c r="G12" s="25"/>
      <c r="H12" s="83"/>
    </row>
    <row r="13" spans="1:10">
      <c r="A13" s="25"/>
      <c r="B13" s="84" t="s">
        <v>458</v>
      </c>
      <c r="C13" s="85"/>
      <c r="D13" s="85"/>
      <c r="E13" s="85" t="s">
        <v>93</v>
      </c>
      <c r="F13" s="25">
        <v>0.9900000000000001</v>
      </c>
      <c r="G13" s="83">
        <v>292000</v>
      </c>
      <c r="H13" s="83">
        <f>F13*G13</f>
        <v>289080.00000000006</v>
      </c>
      <c r="J13" s="306">
        <f>F13*G13</f>
        <v>289080.00000000006</v>
      </c>
    </row>
    <row r="14" spans="1:10" ht="47.25">
      <c r="A14" s="25"/>
      <c r="B14" s="84" t="s">
        <v>459</v>
      </c>
      <c r="C14" s="85"/>
      <c r="D14" s="85"/>
      <c r="E14" s="85" t="s">
        <v>123</v>
      </c>
      <c r="F14" s="25">
        <v>1</v>
      </c>
      <c r="G14" s="83">
        <v>805000</v>
      </c>
      <c r="H14" s="83">
        <f t="shared" ref="H14:H77" si="0">F14*G14</f>
        <v>805000</v>
      </c>
      <c r="J14" s="306">
        <f t="shared" ref="J14:J77" si="1">F14*G14</f>
        <v>805000</v>
      </c>
    </row>
    <row r="15" spans="1:10">
      <c r="A15" s="25">
        <v>2</v>
      </c>
      <c r="B15" s="84" t="s">
        <v>460</v>
      </c>
      <c r="C15" s="85"/>
      <c r="D15" s="85"/>
      <c r="E15" s="85"/>
      <c r="F15" s="25"/>
      <c r="G15" s="83"/>
      <c r="H15" s="83">
        <f t="shared" si="0"/>
        <v>0</v>
      </c>
      <c r="J15" s="306">
        <f t="shared" si="1"/>
        <v>0</v>
      </c>
    </row>
    <row r="16" spans="1:10" ht="47.25">
      <c r="A16" s="85" t="s">
        <v>349</v>
      </c>
      <c r="B16" s="84" t="s">
        <v>461</v>
      </c>
      <c r="C16" s="84"/>
      <c r="D16" s="25"/>
      <c r="E16" s="25" t="s">
        <v>63</v>
      </c>
      <c r="F16" s="25">
        <v>5</v>
      </c>
      <c r="G16" s="83">
        <v>676000</v>
      </c>
      <c r="H16" s="83">
        <f t="shared" si="0"/>
        <v>3380000</v>
      </c>
      <c r="J16" s="306">
        <f t="shared" si="1"/>
        <v>3380000</v>
      </c>
    </row>
    <row r="17" spans="1:10" ht="47.25">
      <c r="A17" s="85" t="s">
        <v>349</v>
      </c>
      <c r="B17" s="86" t="s">
        <v>462</v>
      </c>
      <c r="C17" s="784"/>
      <c r="D17" s="784"/>
      <c r="E17" s="85" t="s">
        <v>204</v>
      </c>
      <c r="F17" s="25">
        <v>3.240000000000002</v>
      </c>
      <c r="G17" s="83">
        <v>538688.272</v>
      </c>
      <c r="H17" s="83">
        <f t="shared" si="0"/>
        <v>1745350.0012800011</v>
      </c>
      <c r="J17" s="306">
        <f t="shared" si="1"/>
        <v>1745350.0012800011</v>
      </c>
    </row>
    <row r="18" spans="1:10">
      <c r="A18" s="25"/>
      <c r="B18" s="84" t="s">
        <v>463</v>
      </c>
      <c r="C18" s="784"/>
      <c r="D18" s="784"/>
      <c r="E18" s="785"/>
      <c r="F18" s="25"/>
      <c r="G18" s="83"/>
      <c r="H18" s="83">
        <f t="shared" si="0"/>
        <v>0</v>
      </c>
      <c r="J18" s="306">
        <f t="shared" si="1"/>
        <v>0</v>
      </c>
    </row>
    <row r="19" spans="1:10" ht="31.5">
      <c r="A19" s="25"/>
      <c r="B19" s="84" t="s">
        <v>464</v>
      </c>
      <c r="C19" s="85"/>
      <c r="D19" s="85"/>
      <c r="E19" s="85" t="s">
        <v>93</v>
      </c>
      <c r="F19" s="25">
        <v>0.25</v>
      </c>
      <c r="G19" s="83">
        <v>487000</v>
      </c>
      <c r="H19" s="83">
        <f t="shared" si="0"/>
        <v>121750</v>
      </c>
      <c r="J19" s="306">
        <f t="shared" si="1"/>
        <v>121750</v>
      </c>
    </row>
    <row r="20" spans="1:10" ht="31.5">
      <c r="A20" s="25"/>
      <c r="B20" s="84" t="s">
        <v>465</v>
      </c>
      <c r="C20" s="85"/>
      <c r="D20" s="85"/>
      <c r="E20" s="85" t="s">
        <v>93</v>
      </c>
      <c r="F20" s="25">
        <v>2</v>
      </c>
      <c r="G20" s="83">
        <v>487000</v>
      </c>
      <c r="H20" s="83">
        <f t="shared" si="0"/>
        <v>974000</v>
      </c>
      <c r="J20" s="306">
        <f t="shared" si="1"/>
        <v>974000</v>
      </c>
    </row>
    <row r="21" spans="1:10">
      <c r="A21" s="29" t="s">
        <v>101</v>
      </c>
      <c r="B21" s="79" t="s">
        <v>466</v>
      </c>
      <c r="C21" s="85"/>
      <c r="D21" s="85"/>
      <c r="E21" s="85"/>
      <c r="F21" s="25"/>
      <c r="G21" s="83"/>
      <c r="H21" s="83">
        <f t="shared" si="0"/>
        <v>0</v>
      </c>
      <c r="J21" s="306">
        <f t="shared" si="1"/>
        <v>0</v>
      </c>
    </row>
    <row r="22" spans="1:10">
      <c r="A22" s="25" t="s">
        <v>139</v>
      </c>
      <c r="B22" s="27" t="s">
        <v>467</v>
      </c>
      <c r="C22" s="85"/>
      <c r="D22" s="85"/>
      <c r="E22" s="85"/>
      <c r="F22" s="25"/>
      <c r="G22" s="83"/>
      <c r="H22" s="83">
        <f t="shared" si="0"/>
        <v>0</v>
      </c>
      <c r="J22" s="306">
        <f t="shared" si="1"/>
        <v>0</v>
      </c>
    </row>
    <row r="23" spans="1:10" ht="47.25">
      <c r="A23" s="25">
        <v>1</v>
      </c>
      <c r="B23" s="87" t="s">
        <v>468</v>
      </c>
      <c r="C23" s="85"/>
      <c r="D23" s="85"/>
      <c r="E23" s="25" t="s">
        <v>146</v>
      </c>
      <c r="F23" s="25">
        <v>1</v>
      </c>
      <c r="G23" s="83"/>
      <c r="H23" s="83">
        <f t="shared" si="0"/>
        <v>0</v>
      </c>
      <c r="J23" s="306">
        <f t="shared" si="1"/>
        <v>0</v>
      </c>
    </row>
    <row r="24" spans="1:10">
      <c r="A24" s="25">
        <v>2</v>
      </c>
      <c r="B24" s="87" t="s">
        <v>469</v>
      </c>
      <c r="C24" s="85"/>
      <c r="D24" s="85"/>
      <c r="E24" s="25" t="s">
        <v>146</v>
      </c>
      <c r="F24" s="25">
        <v>1</v>
      </c>
      <c r="G24" s="83">
        <v>185000</v>
      </c>
      <c r="H24" s="83">
        <f t="shared" si="0"/>
        <v>185000</v>
      </c>
      <c r="J24" s="306">
        <f t="shared" si="1"/>
        <v>185000</v>
      </c>
    </row>
    <row r="25" spans="1:10" ht="141.75">
      <c r="A25" s="25">
        <v>3</v>
      </c>
      <c r="B25" s="87" t="s">
        <v>470</v>
      </c>
      <c r="C25" s="85"/>
      <c r="D25" s="85"/>
      <c r="E25" s="25" t="s">
        <v>63</v>
      </c>
      <c r="F25" s="25">
        <v>35</v>
      </c>
      <c r="G25" s="83">
        <v>92000</v>
      </c>
      <c r="H25" s="83">
        <f t="shared" si="0"/>
        <v>3220000</v>
      </c>
      <c r="J25" s="306">
        <f t="shared" si="1"/>
        <v>3220000</v>
      </c>
    </row>
    <row r="26" spans="1:10" ht="94.5">
      <c r="A26" s="25">
        <v>4</v>
      </c>
      <c r="B26" s="87" t="s">
        <v>471</v>
      </c>
      <c r="C26" s="85"/>
      <c r="D26" s="85"/>
      <c r="E26" s="25" t="s">
        <v>63</v>
      </c>
      <c r="F26" s="25">
        <v>20</v>
      </c>
      <c r="G26" s="83">
        <v>92000</v>
      </c>
      <c r="H26" s="83">
        <f t="shared" si="0"/>
        <v>1840000</v>
      </c>
      <c r="J26" s="306">
        <f t="shared" si="1"/>
        <v>1840000</v>
      </c>
    </row>
    <row r="27" spans="1:10" ht="126">
      <c r="A27" s="25">
        <v>5</v>
      </c>
      <c r="B27" s="87" t="s">
        <v>472</v>
      </c>
      <c r="C27" s="85"/>
      <c r="D27" s="85"/>
      <c r="E27" s="25" t="s">
        <v>63</v>
      </c>
      <c r="F27" s="25">
        <v>45</v>
      </c>
      <c r="G27" s="83">
        <v>92000</v>
      </c>
      <c r="H27" s="83">
        <f t="shared" si="0"/>
        <v>4140000</v>
      </c>
      <c r="J27" s="306">
        <f t="shared" si="1"/>
        <v>4140000</v>
      </c>
    </row>
    <row r="28" spans="1:10" ht="94.5">
      <c r="A28" s="25">
        <v>6</v>
      </c>
      <c r="B28" s="87" t="s">
        <v>473</v>
      </c>
      <c r="C28" s="85"/>
      <c r="D28" s="85"/>
      <c r="E28" s="25" t="s">
        <v>63</v>
      </c>
      <c r="F28" s="25">
        <v>40</v>
      </c>
      <c r="G28" s="83">
        <v>92000</v>
      </c>
      <c r="H28" s="83">
        <f t="shared" si="0"/>
        <v>3680000</v>
      </c>
      <c r="J28" s="306">
        <f t="shared" si="1"/>
        <v>3680000</v>
      </c>
    </row>
    <row r="29" spans="1:10">
      <c r="A29" s="85" t="s">
        <v>139</v>
      </c>
      <c r="B29" s="87" t="s">
        <v>1648</v>
      </c>
      <c r="C29" s="85"/>
      <c r="D29" s="85"/>
      <c r="E29" s="25" t="s">
        <v>474</v>
      </c>
      <c r="F29" s="25">
        <v>1</v>
      </c>
      <c r="G29" s="83">
        <v>217000</v>
      </c>
      <c r="H29" s="83">
        <f t="shared" si="0"/>
        <v>217000</v>
      </c>
      <c r="J29" s="306">
        <f t="shared" si="1"/>
        <v>217000</v>
      </c>
    </row>
    <row r="30" spans="1:10" ht="47.25">
      <c r="A30" s="85" t="s">
        <v>139</v>
      </c>
      <c r="B30" s="87" t="s">
        <v>1649</v>
      </c>
      <c r="C30" s="85"/>
      <c r="D30" s="85"/>
      <c r="E30" s="25" t="s">
        <v>474</v>
      </c>
      <c r="F30" s="25">
        <v>1</v>
      </c>
      <c r="G30" s="83">
        <v>869000</v>
      </c>
      <c r="H30" s="83">
        <f t="shared" si="0"/>
        <v>869000</v>
      </c>
      <c r="J30" s="306">
        <f t="shared" si="1"/>
        <v>869000</v>
      </c>
    </row>
    <row r="31" spans="1:10">
      <c r="A31" s="29" t="s">
        <v>126</v>
      </c>
      <c r="B31" s="27" t="s">
        <v>127</v>
      </c>
      <c r="C31" s="85"/>
      <c r="D31" s="85"/>
      <c r="E31" s="25"/>
      <c r="F31" s="25"/>
      <c r="G31" s="83"/>
      <c r="H31" s="83">
        <f t="shared" si="0"/>
        <v>0</v>
      </c>
      <c r="J31" s="306">
        <f t="shared" si="1"/>
        <v>0</v>
      </c>
    </row>
    <row r="32" spans="1:10" ht="31.5">
      <c r="A32" s="25">
        <v>1</v>
      </c>
      <c r="B32" s="27" t="s">
        <v>475</v>
      </c>
      <c r="C32" s="85"/>
      <c r="D32" s="85"/>
      <c r="E32" s="25"/>
      <c r="F32" s="25"/>
      <c r="G32" s="83"/>
      <c r="H32" s="83">
        <f t="shared" si="0"/>
        <v>0</v>
      </c>
      <c r="J32" s="306">
        <f t="shared" si="1"/>
        <v>0</v>
      </c>
    </row>
    <row r="33" spans="1:10">
      <c r="A33" s="25"/>
      <c r="B33" s="84" t="s">
        <v>476</v>
      </c>
      <c r="C33" s="85"/>
      <c r="D33" s="85"/>
      <c r="E33" s="25"/>
      <c r="F33" s="25"/>
      <c r="G33" s="83"/>
      <c r="H33" s="83">
        <f t="shared" si="0"/>
        <v>0</v>
      </c>
      <c r="J33" s="306">
        <f t="shared" si="1"/>
        <v>0</v>
      </c>
    </row>
    <row r="34" spans="1:10">
      <c r="A34" s="25"/>
      <c r="B34" s="84" t="s">
        <v>477</v>
      </c>
      <c r="C34" s="85"/>
      <c r="D34" s="85"/>
      <c r="E34" s="85" t="s">
        <v>111</v>
      </c>
      <c r="F34" s="25">
        <v>2</v>
      </c>
      <c r="G34" s="83">
        <v>390950</v>
      </c>
      <c r="H34" s="83">
        <f t="shared" si="0"/>
        <v>781900</v>
      </c>
      <c r="J34" s="306">
        <f t="shared" si="1"/>
        <v>781900</v>
      </c>
    </row>
    <row r="35" spans="1:10">
      <c r="A35" s="25"/>
      <c r="B35" s="84" t="s">
        <v>478</v>
      </c>
      <c r="C35" s="25"/>
      <c r="D35" s="25"/>
      <c r="E35" s="25" t="s">
        <v>111</v>
      </c>
      <c r="F35" s="25">
        <v>2</v>
      </c>
      <c r="G35" s="83">
        <v>449050</v>
      </c>
      <c r="H35" s="83">
        <f t="shared" si="0"/>
        <v>898100</v>
      </c>
      <c r="J35" s="306">
        <f t="shared" si="1"/>
        <v>898100</v>
      </c>
    </row>
    <row r="36" spans="1:10">
      <c r="A36" s="25"/>
      <c r="B36" s="84" t="s">
        <v>479</v>
      </c>
      <c r="C36" s="25"/>
      <c r="D36" s="25"/>
      <c r="E36" s="25" t="s">
        <v>111</v>
      </c>
      <c r="F36" s="25">
        <v>4</v>
      </c>
      <c r="G36" s="83">
        <v>390950</v>
      </c>
      <c r="H36" s="83">
        <f t="shared" si="0"/>
        <v>1563800</v>
      </c>
      <c r="J36" s="306">
        <f t="shared" si="1"/>
        <v>1563800</v>
      </c>
    </row>
    <row r="37" spans="1:10">
      <c r="A37" s="25"/>
      <c r="B37" s="84" t="s">
        <v>480</v>
      </c>
      <c r="C37" s="85"/>
      <c r="D37" s="85"/>
      <c r="E37" s="85" t="s">
        <v>111</v>
      </c>
      <c r="F37" s="25">
        <v>2</v>
      </c>
      <c r="G37" s="83">
        <v>390950</v>
      </c>
      <c r="H37" s="83">
        <f t="shared" si="0"/>
        <v>781900</v>
      </c>
      <c r="J37" s="306">
        <f t="shared" si="1"/>
        <v>781900</v>
      </c>
    </row>
    <row r="38" spans="1:10" ht="31.5">
      <c r="A38" s="25"/>
      <c r="B38" s="26" t="s">
        <v>481</v>
      </c>
      <c r="C38" s="25"/>
      <c r="D38" s="25"/>
      <c r="E38" s="25" t="s">
        <v>482</v>
      </c>
      <c r="F38" s="25">
        <v>2</v>
      </c>
      <c r="G38" s="83">
        <v>3850000</v>
      </c>
      <c r="H38" s="83">
        <f t="shared" si="0"/>
        <v>7700000</v>
      </c>
      <c r="J38" s="306">
        <f t="shared" si="1"/>
        <v>7700000</v>
      </c>
    </row>
    <row r="39" spans="1:10">
      <c r="A39" s="29">
        <v>2</v>
      </c>
      <c r="B39" s="79" t="s">
        <v>483</v>
      </c>
      <c r="C39" s="29"/>
      <c r="D39" s="29"/>
      <c r="E39" s="29"/>
      <c r="F39" s="29"/>
      <c r="G39" s="82"/>
      <c r="H39" s="83">
        <f t="shared" si="0"/>
        <v>0</v>
      </c>
      <c r="J39" s="306">
        <f t="shared" si="1"/>
        <v>0</v>
      </c>
    </row>
    <row r="40" spans="1:10" ht="31.5">
      <c r="A40" s="25"/>
      <c r="B40" s="84" t="s">
        <v>484</v>
      </c>
      <c r="C40" s="25"/>
      <c r="D40" s="25"/>
      <c r="E40" s="25" t="s">
        <v>485</v>
      </c>
      <c r="F40" s="25">
        <v>1</v>
      </c>
      <c r="G40" s="83">
        <v>75600000</v>
      </c>
      <c r="H40" s="83">
        <f t="shared" si="0"/>
        <v>75600000</v>
      </c>
      <c r="J40" s="306">
        <f t="shared" si="1"/>
        <v>75600000</v>
      </c>
    </row>
    <row r="41" spans="1:10">
      <c r="A41" s="29">
        <v>3</v>
      </c>
      <c r="B41" s="27" t="s">
        <v>486</v>
      </c>
      <c r="C41" s="29"/>
      <c r="D41" s="29"/>
      <c r="E41" s="29"/>
      <c r="F41" s="29"/>
      <c r="G41" s="82"/>
      <c r="H41" s="83">
        <f t="shared" si="0"/>
        <v>0</v>
      </c>
      <c r="J41" s="306">
        <f t="shared" si="1"/>
        <v>0</v>
      </c>
    </row>
    <row r="42" spans="1:10" ht="47.25">
      <c r="A42" s="88" t="s">
        <v>16</v>
      </c>
      <c r="B42" s="786" t="s">
        <v>487</v>
      </c>
      <c r="C42" s="25"/>
      <c r="D42" s="25"/>
      <c r="E42" s="85" t="s">
        <v>111</v>
      </c>
      <c r="F42" s="25">
        <v>1</v>
      </c>
      <c r="G42" s="83">
        <v>739000</v>
      </c>
      <c r="H42" s="83">
        <f t="shared" si="0"/>
        <v>739000</v>
      </c>
      <c r="J42" s="306">
        <f t="shared" si="1"/>
        <v>739000</v>
      </c>
    </row>
    <row r="43" spans="1:10" ht="31.5">
      <c r="A43" s="88" t="s">
        <v>349</v>
      </c>
      <c r="B43" s="786" t="s">
        <v>488</v>
      </c>
      <c r="C43" s="25"/>
      <c r="D43" s="25"/>
      <c r="E43" s="85" t="s">
        <v>63</v>
      </c>
      <c r="F43" s="25">
        <v>3</v>
      </c>
      <c r="G43" s="83">
        <v>141000</v>
      </c>
      <c r="H43" s="83">
        <f t="shared" si="0"/>
        <v>423000</v>
      </c>
      <c r="J43" s="306">
        <f t="shared" si="1"/>
        <v>423000</v>
      </c>
    </row>
    <row r="44" spans="1:10">
      <c r="A44" s="88" t="s">
        <v>349</v>
      </c>
      <c r="B44" s="786" t="s">
        <v>489</v>
      </c>
      <c r="C44" s="25"/>
      <c r="D44" s="25"/>
      <c r="E44" s="25" t="s">
        <v>63</v>
      </c>
      <c r="F44" s="25">
        <v>8</v>
      </c>
      <c r="G44" s="83">
        <v>81000</v>
      </c>
      <c r="H44" s="83">
        <f t="shared" si="0"/>
        <v>648000</v>
      </c>
      <c r="J44" s="306">
        <f t="shared" si="1"/>
        <v>648000</v>
      </c>
    </row>
    <row r="45" spans="1:10">
      <c r="A45" s="88" t="s">
        <v>18</v>
      </c>
      <c r="B45" s="786" t="s">
        <v>490</v>
      </c>
      <c r="C45" s="25"/>
      <c r="D45" s="25"/>
      <c r="E45" s="25" t="s">
        <v>63</v>
      </c>
      <c r="F45" s="25">
        <v>10</v>
      </c>
      <c r="G45" s="83">
        <v>40000</v>
      </c>
      <c r="H45" s="83">
        <f t="shared" si="0"/>
        <v>400000</v>
      </c>
      <c r="J45" s="306">
        <f t="shared" si="1"/>
        <v>400000</v>
      </c>
    </row>
    <row r="46" spans="1:10">
      <c r="A46" s="88" t="s">
        <v>349</v>
      </c>
      <c r="B46" s="786" t="s">
        <v>491</v>
      </c>
      <c r="C46" s="25"/>
      <c r="D46" s="25"/>
      <c r="E46" s="25" t="s">
        <v>63</v>
      </c>
      <c r="F46" s="25">
        <v>6</v>
      </c>
      <c r="G46" s="83">
        <v>81000</v>
      </c>
      <c r="H46" s="83">
        <f t="shared" si="0"/>
        <v>486000</v>
      </c>
      <c r="J46" s="306">
        <f t="shared" si="1"/>
        <v>486000</v>
      </c>
    </row>
    <row r="47" spans="1:10">
      <c r="A47" s="88" t="s">
        <v>492</v>
      </c>
      <c r="B47" s="786" t="s">
        <v>490</v>
      </c>
      <c r="C47" s="25"/>
      <c r="D47" s="25"/>
      <c r="E47" s="25" t="s">
        <v>63</v>
      </c>
      <c r="F47" s="25">
        <v>8</v>
      </c>
      <c r="G47" s="83">
        <v>40000</v>
      </c>
      <c r="H47" s="83">
        <f t="shared" si="0"/>
        <v>320000</v>
      </c>
      <c r="J47" s="306">
        <f t="shared" si="1"/>
        <v>320000</v>
      </c>
    </row>
    <row r="48" spans="1:10">
      <c r="A48" s="88" t="s">
        <v>349</v>
      </c>
      <c r="B48" s="786" t="s">
        <v>493</v>
      </c>
      <c r="C48" s="25"/>
      <c r="D48" s="25"/>
      <c r="E48" s="25" t="s">
        <v>63</v>
      </c>
      <c r="F48" s="25">
        <v>6</v>
      </c>
      <c r="G48" s="83">
        <v>81000</v>
      </c>
      <c r="H48" s="83">
        <f t="shared" si="0"/>
        <v>486000</v>
      </c>
      <c r="J48" s="306">
        <f t="shared" si="1"/>
        <v>486000</v>
      </c>
    </row>
    <row r="49" spans="1:10">
      <c r="A49" s="88" t="s">
        <v>494</v>
      </c>
      <c r="B49" s="786" t="s">
        <v>490</v>
      </c>
      <c r="C49" s="25"/>
      <c r="D49" s="25"/>
      <c r="E49" s="25" t="s">
        <v>63</v>
      </c>
      <c r="F49" s="25">
        <v>8</v>
      </c>
      <c r="G49" s="83">
        <v>40000</v>
      </c>
      <c r="H49" s="83">
        <f t="shared" si="0"/>
        <v>320000</v>
      </c>
      <c r="J49" s="306">
        <f t="shared" si="1"/>
        <v>320000</v>
      </c>
    </row>
    <row r="50" spans="1:10">
      <c r="A50" s="88" t="s">
        <v>349</v>
      </c>
      <c r="B50" s="786" t="s">
        <v>495</v>
      </c>
      <c r="C50" s="25"/>
      <c r="D50" s="25"/>
      <c r="E50" s="25" t="s">
        <v>63</v>
      </c>
      <c r="F50" s="25">
        <v>10</v>
      </c>
      <c r="G50" s="83">
        <v>81000</v>
      </c>
      <c r="H50" s="83">
        <f t="shared" si="0"/>
        <v>810000</v>
      </c>
      <c r="J50" s="306">
        <f t="shared" si="1"/>
        <v>810000</v>
      </c>
    </row>
    <row r="51" spans="1:10">
      <c r="A51" s="88" t="s">
        <v>496</v>
      </c>
      <c r="B51" s="786" t="s">
        <v>490</v>
      </c>
      <c r="C51" s="25"/>
      <c r="D51" s="25"/>
      <c r="E51" s="25" t="s">
        <v>63</v>
      </c>
      <c r="F51" s="25">
        <v>12</v>
      </c>
      <c r="G51" s="83">
        <v>40000</v>
      </c>
      <c r="H51" s="83">
        <f t="shared" si="0"/>
        <v>480000</v>
      </c>
      <c r="J51" s="306">
        <f t="shared" si="1"/>
        <v>480000</v>
      </c>
    </row>
    <row r="52" spans="1:10">
      <c r="A52" s="88" t="s">
        <v>349</v>
      </c>
      <c r="B52" s="786" t="s">
        <v>497</v>
      </c>
      <c r="C52" s="25"/>
      <c r="D52" s="25"/>
      <c r="E52" s="25" t="s">
        <v>111</v>
      </c>
      <c r="F52" s="25">
        <v>1</v>
      </c>
      <c r="G52" s="83">
        <v>2013000</v>
      </c>
      <c r="H52" s="83">
        <f t="shared" si="0"/>
        <v>2013000</v>
      </c>
      <c r="J52" s="306">
        <f t="shared" si="1"/>
        <v>2013000</v>
      </c>
    </row>
    <row r="53" spans="1:10">
      <c r="A53" s="89">
        <v>4</v>
      </c>
      <c r="B53" s="787" t="s">
        <v>498</v>
      </c>
      <c r="C53" s="29"/>
      <c r="D53" s="29"/>
      <c r="E53" s="29"/>
      <c r="F53" s="29"/>
      <c r="G53" s="82"/>
      <c r="H53" s="83">
        <f t="shared" si="0"/>
        <v>0</v>
      </c>
      <c r="J53" s="306">
        <f t="shared" si="1"/>
        <v>0</v>
      </c>
    </row>
    <row r="54" spans="1:10">
      <c r="A54" s="88" t="s">
        <v>21</v>
      </c>
      <c r="B54" s="786" t="s">
        <v>499</v>
      </c>
      <c r="C54" s="25"/>
      <c r="D54" s="25"/>
      <c r="E54" s="25" t="s">
        <v>93</v>
      </c>
      <c r="F54" s="25">
        <v>10</v>
      </c>
      <c r="G54" s="83">
        <v>201000</v>
      </c>
      <c r="H54" s="83">
        <f t="shared" si="0"/>
        <v>2010000</v>
      </c>
      <c r="J54" s="306">
        <f t="shared" si="1"/>
        <v>2010000</v>
      </c>
    </row>
    <row r="55" spans="1:10" ht="31.5">
      <c r="A55" s="88" t="s">
        <v>500</v>
      </c>
      <c r="B55" s="786" t="s">
        <v>501</v>
      </c>
      <c r="C55" s="25"/>
      <c r="D55" s="25"/>
      <c r="E55" s="25" t="s">
        <v>63</v>
      </c>
      <c r="F55" s="25">
        <v>2</v>
      </c>
      <c r="G55" s="83">
        <v>282000</v>
      </c>
      <c r="H55" s="83">
        <f t="shared" si="0"/>
        <v>564000</v>
      </c>
      <c r="J55" s="306">
        <f t="shared" si="1"/>
        <v>564000</v>
      </c>
    </row>
    <row r="56" spans="1:10" ht="31.5">
      <c r="A56" s="88" t="s">
        <v>349</v>
      </c>
      <c r="B56" s="786" t="s">
        <v>502</v>
      </c>
      <c r="C56" s="25"/>
      <c r="D56" s="25"/>
      <c r="E56" s="25" t="s">
        <v>63</v>
      </c>
      <c r="F56" s="25">
        <v>0.6</v>
      </c>
      <c r="G56" s="83">
        <v>201000</v>
      </c>
      <c r="H56" s="83">
        <f t="shared" si="0"/>
        <v>120600</v>
      </c>
      <c r="J56" s="306">
        <f t="shared" si="1"/>
        <v>120600</v>
      </c>
    </row>
    <row r="57" spans="1:10" ht="31.5">
      <c r="A57" s="88" t="s">
        <v>349</v>
      </c>
      <c r="B57" s="786" t="s">
        <v>503</v>
      </c>
      <c r="C57" s="25"/>
      <c r="D57" s="25"/>
      <c r="E57" s="25" t="s">
        <v>63</v>
      </c>
      <c r="F57" s="25">
        <v>0.6</v>
      </c>
      <c r="G57" s="83">
        <v>141000</v>
      </c>
      <c r="H57" s="83">
        <f t="shared" si="0"/>
        <v>84600</v>
      </c>
      <c r="J57" s="306">
        <f t="shared" si="1"/>
        <v>84600</v>
      </c>
    </row>
    <row r="58" spans="1:10" ht="31.5">
      <c r="A58" s="88" t="s">
        <v>349</v>
      </c>
      <c r="B58" s="786" t="s">
        <v>504</v>
      </c>
      <c r="C58" s="25"/>
      <c r="D58" s="25"/>
      <c r="E58" s="25" t="s">
        <v>63</v>
      </c>
      <c r="F58" s="25">
        <v>0.6</v>
      </c>
      <c r="G58" s="83">
        <v>81000</v>
      </c>
      <c r="H58" s="83">
        <f t="shared" si="0"/>
        <v>48600</v>
      </c>
      <c r="J58" s="306">
        <f t="shared" si="1"/>
        <v>48600</v>
      </c>
    </row>
    <row r="59" spans="1:10">
      <c r="A59" s="88" t="s">
        <v>505</v>
      </c>
      <c r="B59" s="84" t="s">
        <v>506</v>
      </c>
      <c r="C59" s="25"/>
      <c r="D59" s="25"/>
      <c r="E59" s="25"/>
      <c r="F59" s="25"/>
      <c r="G59" s="83"/>
      <c r="H59" s="83">
        <f t="shared" si="0"/>
        <v>0</v>
      </c>
      <c r="J59" s="306">
        <f t="shared" si="1"/>
        <v>0</v>
      </c>
    </row>
    <row r="60" spans="1:10">
      <c r="A60" s="88" t="s">
        <v>349</v>
      </c>
      <c r="B60" s="786" t="s">
        <v>507</v>
      </c>
      <c r="C60" s="25"/>
      <c r="D60" s="25"/>
      <c r="E60" s="25" t="s">
        <v>63</v>
      </c>
      <c r="F60" s="25">
        <v>3</v>
      </c>
      <c r="G60" s="83">
        <v>141000</v>
      </c>
      <c r="H60" s="83">
        <f t="shared" si="0"/>
        <v>423000</v>
      </c>
      <c r="J60" s="306">
        <f t="shared" si="1"/>
        <v>423000</v>
      </c>
    </row>
    <row r="61" spans="1:10">
      <c r="A61" s="88" t="s">
        <v>349</v>
      </c>
      <c r="B61" s="786" t="s">
        <v>508</v>
      </c>
      <c r="C61" s="25"/>
      <c r="D61" s="25"/>
      <c r="E61" s="25" t="s">
        <v>63</v>
      </c>
      <c r="F61" s="25">
        <v>3</v>
      </c>
      <c r="G61" s="83">
        <v>201000</v>
      </c>
      <c r="H61" s="83">
        <f t="shared" si="0"/>
        <v>603000</v>
      </c>
      <c r="J61" s="306">
        <f t="shared" si="1"/>
        <v>603000</v>
      </c>
    </row>
    <row r="62" spans="1:10" ht="94.5">
      <c r="A62" s="29">
        <v>5</v>
      </c>
      <c r="B62" s="79" t="s">
        <v>1650</v>
      </c>
      <c r="C62" s="25"/>
      <c r="D62" s="25"/>
      <c r="E62" s="25" t="s">
        <v>142</v>
      </c>
      <c r="F62" s="25">
        <v>1</v>
      </c>
      <c r="G62" s="83">
        <v>5212000</v>
      </c>
      <c r="H62" s="83">
        <f t="shared" si="0"/>
        <v>5212000</v>
      </c>
      <c r="J62" s="306">
        <f t="shared" si="1"/>
        <v>5212000</v>
      </c>
    </row>
    <row r="63" spans="1:10">
      <c r="A63" s="29"/>
      <c r="B63" s="786" t="s">
        <v>143</v>
      </c>
      <c r="C63" s="25"/>
      <c r="D63" s="25"/>
      <c r="E63" s="25" t="s">
        <v>111</v>
      </c>
      <c r="F63" s="25">
        <v>4</v>
      </c>
      <c r="G63" s="83">
        <v>434000</v>
      </c>
      <c r="H63" s="83">
        <f t="shared" si="0"/>
        <v>1736000</v>
      </c>
      <c r="J63" s="306">
        <f t="shared" si="1"/>
        <v>1736000</v>
      </c>
    </row>
    <row r="64" spans="1:10">
      <c r="A64" s="25"/>
      <c r="B64" s="786" t="s">
        <v>144</v>
      </c>
      <c r="C64" s="25"/>
      <c r="D64" s="25"/>
      <c r="E64" s="25" t="s">
        <v>111</v>
      </c>
      <c r="F64" s="25">
        <v>4</v>
      </c>
      <c r="G64" s="83">
        <v>434000</v>
      </c>
      <c r="H64" s="83">
        <f t="shared" si="0"/>
        <v>1736000</v>
      </c>
      <c r="J64" s="306">
        <f t="shared" si="1"/>
        <v>1736000</v>
      </c>
    </row>
    <row r="65" spans="1:10">
      <c r="A65" s="25"/>
      <c r="B65" s="786" t="s">
        <v>145</v>
      </c>
      <c r="C65" s="25"/>
      <c r="D65" s="25"/>
      <c r="E65" s="25" t="s">
        <v>111</v>
      </c>
      <c r="F65" s="25">
        <v>1</v>
      </c>
      <c r="G65" s="83">
        <v>434000</v>
      </c>
      <c r="H65" s="83">
        <f t="shared" si="0"/>
        <v>434000</v>
      </c>
      <c r="J65" s="306">
        <f t="shared" si="1"/>
        <v>434000</v>
      </c>
    </row>
    <row r="66" spans="1:10" s="420" customFormat="1">
      <c r="A66" s="788" t="s">
        <v>147</v>
      </c>
      <c r="B66" s="789" t="s">
        <v>154</v>
      </c>
      <c r="C66" s="788"/>
      <c r="D66" s="788"/>
      <c r="E66" s="788"/>
      <c r="F66" s="788"/>
      <c r="G66" s="419"/>
      <c r="H66" s="419">
        <f t="shared" si="0"/>
        <v>0</v>
      </c>
      <c r="J66" s="421">
        <f t="shared" si="1"/>
        <v>0</v>
      </c>
    </row>
    <row r="67" spans="1:10">
      <c r="A67" s="25" t="s">
        <v>139</v>
      </c>
      <c r="B67" s="786" t="s">
        <v>155</v>
      </c>
      <c r="C67" s="25"/>
      <c r="D67" s="25"/>
      <c r="E67" s="25" t="s">
        <v>123</v>
      </c>
      <c r="F67" s="25">
        <v>2</v>
      </c>
      <c r="G67" s="83"/>
      <c r="H67" s="83">
        <f t="shared" si="0"/>
        <v>0</v>
      </c>
      <c r="J67" s="306">
        <f t="shared" si="1"/>
        <v>0</v>
      </c>
    </row>
    <row r="68" spans="1:10" ht="47.25">
      <c r="A68" s="25">
        <v>1</v>
      </c>
      <c r="B68" s="786" t="s">
        <v>509</v>
      </c>
      <c r="C68" s="25"/>
      <c r="D68" s="25"/>
      <c r="E68" s="25" t="s">
        <v>146</v>
      </c>
      <c r="F68" s="25">
        <v>2</v>
      </c>
      <c r="G68" s="83">
        <v>869000</v>
      </c>
      <c r="H68" s="83">
        <f t="shared" si="0"/>
        <v>1738000</v>
      </c>
      <c r="J68" s="306">
        <f t="shared" si="1"/>
        <v>1738000</v>
      </c>
    </row>
    <row r="69" spans="1:10" ht="47.25">
      <c r="A69" s="25">
        <v>2</v>
      </c>
      <c r="B69" s="786" t="s">
        <v>510</v>
      </c>
      <c r="C69" s="25"/>
      <c r="D69" s="25"/>
      <c r="E69" s="25" t="s">
        <v>157</v>
      </c>
      <c r="F69" s="25">
        <v>2</v>
      </c>
      <c r="G69" s="83">
        <v>1737000</v>
      </c>
      <c r="H69" s="83">
        <f t="shared" si="0"/>
        <v>3474000</v>
      </c>
      <c r="J69" s="306">
        <f t="shared" si="1"/>
        <v>3474000</v>
      </c>
    </row>
    <row r="70" spans="1:10" ht="63">
      <c r="A70" s="25">
        <v>3</v>
      </c>
      <c r="B70" s="786" t="s">
        <v>158</v>
      </c>
      <c r="C70" s="25"/>
      <c r="D70" s="25"/>
      <c r="E70" s="25" t="s">
        <v>157</v>
      </c>
      <c r="F70" s="25">
        <v>2</v>
      </c>
      <c r="G70" s="83">
        <v>554000</v>
      </c>
      <c r="H70" s="83">
        <f t="shared" si="0"/>
        <v>1108000</v>
      </c>
      <c r="J70" s="306">
        <f t="shared" si="1"/>
        <v>1108000</v>
      </c>
    </row>
    <row r="71" spans="1:10" ht="31.5">
      <c r="A71" s="25">
        <v>4</v>
      </c>
      <c r="B71" s="786" t="s">
        <v>159</v>
      </c>
      <c r="C71" s="25"/>
      <c r="D71" s="25"/>
      <c r="E71" s="25" t="s">
        <v>123</v>
      </c>
      <c r="F71" s="25">
        <v>2</v>
      </c>
      <c r="G71" s="83">
        <v>1303000</v>
      </c>
      <c r="H71" s="83">
        <f t="shared" si="0"/>
        <v>2606000</v>
      </c>
      <c r="J71" s="306">
        <f t="shared" si="1"/>
        <v>2606000</v>
      </c>
    </row>
    <row r="72" spans="1:10" ht="47.25">
      <c r="A72" s="25">
        <v>5</v>
      </c>
      <c r="B72" s="786" t="s">
        <v>511</v>
      </c>
      <c r="C72" s="25"/>
      <c r="D72" s="25"/>
      <c r="E72" s="25" t="s">
        <v>111</v>
      </c>
      <c r="F72" s="25">
        <v>2</v>
      </c>
      <c r="G72" s="83">
        <v>1433000</v>
      </c>
      <c r="H72" s="83">
        <f t="shared" si="0"/>
        <v>2866000</v>
      </c>
      <c r="J72" s="306">
        <f t="shared" si="1"/>
        <v>2866000</v>
      </c>
    </row>
    <row r="73" spans="1:10" ht="31.5">
      <c r="A73" s="25">
        <v>6</v>
      </c>
      <c r="B73" s="786" t="s">
        <v>512</v>
      </c>
      <c r="C73" s="25"/>
      <c r="D73" s="25"/>
      <c r="E73" s="25" t="s">
        <v>146</v>
      </c>
      <c r="F73" s="25">
        <v>2</v>
      </c>
      <c r="G73" s="83">
        <v>554000</v>
      </c>
      <c r="H73" s="83">
        <f t="shared" si="0"/>
        <v>1108000</v>
      </c>
      <c r="J73" s="306">
        <f t="shared" si="1"/>
        <v>1108000</v>
      </c>
    </row>
    <row r="74" spans="1:10" ht="31.5">
      <c r="A74" s="25">
        <v>7</v>
      </c>
      <c r="B74" s="786" t="s">
        <v>513</v>
      </c>
      <c r="C74" s="25"/>
      <c r="D74" s="25"/>
      <c r="E74" s="25" t="s">
        <v>146</v>
      </c>
      <c r="F74" s="25">
        <v>24</v>
      </c>
      <c r="G74" s="83"/>
      <c r="H74" s="83">
        <f t="shared" si="0"/>
        <v>0</v>
      </c>
      <c r="J74" s="306">
        <f t="shared" si="1"/>
        <v>0</v>
      </c>
    </row>
    <row r="75" spans="1:10" s="423" customFormat="1">
      <c r="A75" s="790">
        <v>8</v>
      </c>
      <c r="B75" s="791" t="s">
        <v>514</v>
      </c>
      <c r="C75" s="790"/>
      <c r="D75" s="790"/>
      <c r="E75" s="790" t="s">
        <v>157</v>
      </c>
      <c r="F75" s="790">
        <v>2</v>
      </c>
      <c r="G75" s="422">
        <v>739000</v>
      </c>
      <c r="H75" s="422">
        <f t="shared" si="0"/>
        <v>1478000</v>
      </c>
      <c r="J75" s="424">
        <f t="shared" si="1"/>
        <v>1478000</v>
      </c>
    </row>
    <row r="76" spans="1:10">
      <c r="A76" s="25">
        <v>9</v>
      </c>
      <c r="B76" s="786" t="s">
        <v>515</v>
      </c>
      <c r="C76" s="25"/>
      <c r="D76" s="25"/>
      <c r="E76" s="25" t="s">
        <v>111</v>
      </c>
      <c r="F76" s="25">
        <v>2</v>
      </c>
      <c r="G76" s="83"/>
      <c r="H76" s="83">
        <f t="shared" si="0"/>
        <v>0</v>
      </c>
      <c r="J76" s="306">
        <f t="shared" si="1"/>
        <v>0</v>
      </c>
    </row>
    <row r="77" spans="1:10" s="423" customFormat="1" ht="31.5">
      <c r="A77" s="790">
        <v>10</v>
      </c>
      <c r="B77" s="792" t="s">
        <v>516</v>
      </c>
      <c r="C77" s="790"/>
      <c r="D77" s="790"/>
      <c r="E77" s="790" t="s">
        <v>146</v>
      </c>
      <c r="F77" s="790">
        <v>6</v>
      </c>
      <c r="G77" s="422">
        <v>92000</v>
      </c>
      <c r="H77" s="422">
        <f t="shared" si="0"/>
        <v>552000</v>
      </c>
      <c r="J77" s="424">
        <f t="shared" si="1"/>
        <v>552000</v>
      </c>
    </row>
    <row r="78" spans="1:10" ht="47.25">
      <c r="A78" s="25">
        <v>11</v>
      </c>
      <c r="B78" s="84" t="s">
        <v>163</v>
      </c>
      <c r="C78" s="25"/>
      <c r="D78" s="25"/>
      <c r="E78" s="25" t="s">
        <v>146</v>
      </c>
      <c r="F78" s="25">
        <v>24</v>
      </c>
      <c r="G78" s="83">
        <v>92000</v>
      </c>
      <c r="H78" s="83">
        <f t="shared" ref="H78:H141" si="2">F78*G78</f>
        <v>2208000</v>
      </c>
      <c r="J78" s="306">
        <f t="shared" ref="J78:J141" si="3">F78*G78</f>
        <v>2208000</v>
      </c>
    </row>
    <row r="79" spans="1:10">
      <c r="A79" s="25" t="s">
        <v>139</v>
      </c>
      <c r="B79" s="84" t="s">
        <v>20</v>
      </c>
      <c r="C79" s="25"/>
      <c r="D79" s="25"/>
      <c r="E79" s="25"/>
      <c r="F79" s="25"/>
      <c r="G79" s="83"/>
      <c r="H79" s="83">
        <f t="shared" si="2"/>
        <v>0</v>
      </c>
      <c r="J79" s="306">
        <f t="shared" si="3"/>
        <v>0</v>
      </c>
    </row>
    <row r="80" spans="1:10" ht="31.5">
      <c r="A80" s="25">
        <v>1</v>
      </c>
      <c r="B80" s="84" t="s">
        <v>517</v>
      </c>
      <c r="C80" s="25"/>
      <c r="D80" s="25"/>
      <c r="E80" s="25" t="s">
        <v>165</v>
      </c>
      <c r="F80" s="25">
        <v>2</v>
      </c>
      <c r="G80" s="83">
        <v>1737000</v>
      </c>
      <c r="H80" s="83">
        <f t="shared" si="2"/>
        <v>3474000</v>
      </c>
      <c r="J80" s="306">
        <f t="shared" si="3"/>
        <v>3474000</v>
      </c>
    </row>
    <row r="81" spans="1:10">
      <c r="A81" s="29" t="s">
        <v>153</v>
      </c>
      <c r="B81" s="79" t="s">
        <v>298</v>
      </c>
      <c r="C81" s="25"/>
      <c r="D81" s="25"/>
      <c r="E81" s="25"/>
      <c r="F81" s="25"/>
      <c r="G81" s="83"/>
      <c r="H81" s="83">
        <f t="shared" si="2"/>
        <v>0</v>
      </c>
      <c r="J81" s="306">
        <f t="shared" si="3"/>
        <v>0</v>
      </c>
    </row>
    <row r="82" spans="1:10" ht="47.25">
      <c r="A82" s="25">
        <v>1</v>
      </c>
      <c r="B82" s="87" t="s">
        <v>518</v>
      </c>
      <c r="C82" s="85"/>
      <c r="D82" s="85"/>
      <c r="E82" s="85" t="s">
        <v>357</v>
      </c>
      <c r="F82" s="25">
        <v>1</v>
      </c>
      <c r="G82" s="83">
        <v>2013000</v>
      </c>
      <c r="H82" s="83">
        <f t="shared" si="2"/>
        <v>2013000</v>
      </c>
      <c r="J82" s="306">
        <f t="shared" si="3"/>
        <v>2013000</v>
      </c>
    </row>
    <row r="83" spans="1:10" s="423" customFormat="1" ht="31.5">
      <c r="A83" s="790">
        <v>2</v>
      </c>
      <c r="B83" s="792" t="s">
        <v>519</v>
      </c>
      <c r="C83" s="425"/>
      <c r="D83" s="425"/>
      <c r="E83" s="793" t="s">
        <v>146</v>
      </c>
      <c r="F83" s="790">
        <v>1</v>
      </c>
      <c r="G83" s="425">
        <v>3221000</v>
      </c>
      <c r="H83" s="422">
        <f t="shared" si="2"/>
        <v>3221000</v>
      </c>
      <c r="J83" s="424">
        <f t="shared" si="3"/>
        <v>3221000</v>
      </c>
    </row>
    <row r="84" spans="1:10" ht="78.75">
      <c r="A84" s="88">
        <v>3</v>
      </c>
      <c r="B84" s="26" t="s">
        <v>520</v>
      </c>
      <c r="C84" s="85"/>
      <c r="D84" s="85"/>
      <c r="E84" s="85" t="s">
        <v>521</v>
      </c>
      <c r="F84" s="85">
        <v>1</v>
      </c>
      <c r="G84" s="83">
        <v>4026000</v>
      </c>
      <c r="H84" s="83">
        <f t="shared" si="2"/>
        <v>4026000</v>
      </c>
      <c r="J84" s="306">
        <f t="shared" si="3"/>
        <v>4026000</v>
      </c>
    </row>
    <row r="85" spans="1:10" s="307" customFormat="1">
      <c r="A85" s="89" t="s">
        <v>297</v>
      </c>
      <c r="B85" s="27" t="s">
        <v>522</v>
      </c>
      <c r="C85" s="794"/>
      <c r="D85" s="794"/>
      <c r="E85" s="794"/>
      <c r="F85" s="794"/>
      <c r="G85" s="82"/>
      <c r="H85" s="82">
        <f t="shared" si="2"/>
        <v>0</v>
      </c>
      <c r="J85" s="308">
        <f t="shared" si="3"/>
        <v>0</v>
      </c>
    </row>
    <row r="86" spans="1:10" ht="94.5">
      <c r="A86" s="88">
        <v>1</v>
      </c>
      <c r="B86" s="26" t="s">
        <v>523</v>
      </c>
      <c r="C86" s="85"/>
      <c r="D86" s="85"/>
      <c r="E86" s="85" t="s">
        <v>111</v>
      </c>
      <c r="F86" s="85">
        <v>3</v>
      </c>
      <c r="G86" s="83">
        <v>2546550</v>
      </c>
      <c r="H86" s="83">
        <f t="shared" si="2"/>
        <v>7639650</v>
      </c>
      <c r="J86" s="306">
        <f t="shared" si="3"/>
        <v>7639650</v>
      </c>
    </row>
    <row r="87" spans="1:10">
      <c r="A87" s="88" t="s">
        <v>139</v>
      </c>
      <c r="B87" s="26" t="s">
        <v>524</v>
      </c>
      <c r="C87" s="85"/>
      <c r="D87" s="85"/>
      <c r="E87" s="85"/>
      <c r="F87" s="85"/>
      <c r="G87" s="83"/>
      <c r="H87" s="83">
        <f t="shared" si="2"/>
        <v>0</v>
      </c>
      <c r="J87" s="306">
        <f t="shared" si="3"/>
        <v>0</v>
      </c>
    </row>
    <row r="88" spans="1:10" ht="94.5">
      <c r="A88" s="88">
        <v>2</v>
      </c>
      <c r="B88" s="26" t="s">
        <v>525</v>
      </c>
      <c r="C88" s="85"/>
      <c r="D88" s="85"/>
      <c r="E88" s="85" t="s">
        <v>111</v>
      </c>
      <c r="F88" s="85">
        <v>1</v>
      </c>
      <c r="G88" s="83">
        <v>2010000</v>
      </c>
      <c r="H88" s="83">
        <f t="shared" si="2"/>
        <v>2010000</v>
      </c>
      <c r="J88" s="306">
        <f t="shared" si="3"/>
        <v>2010000</v>
      </c>
    </row>
    <row r="89" spans="1:10" ht="47.25">
      <c r="A89" s="88" t="s">
        <v>349</v>
      </c>
      <c r="B89" s="26" t="s">
        <v>526</v>
      </c>
      <c r="C89" s="85"/>
      <c r="D89" s="85"/>
      <c r="E89" s="85"/>
      <c r="F89" s="85"/>
      <c r="G89" s="83"/>
      <c r="H89" s="83">
        <f t="shared" si="2"/>
        <v>0</v>
      </c>
      <c r="J89" s="306">
        <f t="shared" si="3"/>
        <v>0</v>
      </c>
    </row>
    <row r="90" spans="1:10" ht="63">
      <c r="A90" s="88" t="s">
        <v>349</v>
      </c>
      <c r="B90" s="26" t="s">
        <v>527</v>
      </c>
      <c r="C90" s="85"/>
      <c r="D90" s="85"/>
      <c r="E90" s="85"/>
      <c r="F90" s="85"/>
      <c r="G90" s="83"/>
      <c r="H90" s="83">
        <f t="shared" si="2"/>
        <v>0</v>
      </c>
      <c r="J90" s="306">
        <f t="shared" si="3"/>
        <v>0</v>
      </c>
    </row>
    <row r="91" spans="1:10" ht="31.5">
      <c r="A91" s="88" t="s">
        <v>349</v>
      </c>
      <c r="B91" s="26" t="s">
        <v>528</v>
      </c>
      <c r="C91" s="85"/>
      <c r="D91" s="85"/>
      <c r="E91" s="85"/>
      <c r="F91" s="85"/>
      <c r="G91" s="83"/>
      <c r="H91" s="83">
        <f t="shared" si="2"/>
        <v>0</v>
      </c>
      <c r="J91" s="306">
        <f t="shared" si="3"/>
        <v>0</v>
      </c>
    </row>
    <row r="92" spans="1:10" ht="110.25">
      <c r="A92" s="88">
        <v>3</v>
      </c>
      <c r="B92" s="26" t="s">
        <v>529</v>
      </c>
      <c r="C92" s="85"/>
      <c r="D92" s="85"/>
      <c r="E92" s="85" t="s">
        <v>111</v>
      </c>
      <c r="F92" s="85">
        <v>1</v>
      </c>
      <c r="G92" s="83">
        <v>2010000</v>
      </c>
      <c r="H92" s="83">
        <f t="shared" si="2"/>
        <v>2010000</v>
      </c>
      <c r="J92" s="306">
        <f t="shared" si="3"/>
        <v>2010000</v>
      </c>
    </row>
    <row r="93" spans="1:10" ht="47.25">
      <c r="A93" s="88" t="s">
        <v>349</v>
      </c>
      <c r="B93" s="26" t="s">
        <v>526</v>
      </c>
      <c r="C93" s="85"/>
      <c r="D93" s="85"/>
      <c r="E93" s="85"/>
      <c r="F93" s="85"/>
      <c r="G93" s="83"/>
      <c r="H93" s="83">
        <f t="shared" si="2"/>
        <v>0</v>
      </c>
      <c r="J93" s="306">
        <f t="shared" si="3"/>
        <v>0</v>
      </c>
    </row>
    <row r="94" spans="1:10" ht="47.25">
      <c r="A94" s="88" t="s">
        <v>349</v>
      </c>
      <c r="B94" s="26" t="s">
        <v>530</v>
      </c>
      <c r="C94" s="85"/>
      <c r="D94" s="85"/>
      <c r="E94" s="85"/>
      <c r="F94" s="85"/>
      <c r="G94" s="83"/>
      <c r="H94" s="83">
        <f t="shared" si="2"/>
        <v>0</v>
      </c>
      <c r="J94" s="306">
        <f t="shared" si="3"/>
        <v>0</v>
      </c>
    </row>
    <row r="95" spans="1:10" ht="31.5">
      <c r="A95" s="88" t="s">
        <v>349</v>
      </c>
      <c r="B95" s="26" t="s">
        <v>528</v>
      </c>
      <c r="C95" s="85"/>
      <c r="D95" s="85"/>
      <c r="E95" s="85"/>
      <c r="F95" s="85"/>
      <c r="G95" s="83"/>
      <c r="H95" s="83">
        <f t="shared" si="2"/>
        <v>0</v>
      </c>
      <c r="J95" s="306">
        <f t="shared" si="3"/>
        <v>0</v>
      </c>
    </row>
    <row r="96" spans="1:10" ht="63">
      <c r="A96" s="88">
        <v>4</v>
      </c>
      <c r="B96" s="26" t="s">
        <v>531</v>
      </c>
      <c r="C96" s="85"/>
      <c r="D96" s="85"/>
      <c r="E96" s="85" t="s">
        <v>111</v>
      </c>
      <c r="F96" s="85">
        <v>1</v>
      </c>
      <c r="G96" s="83">
        <v>2010000</v>
      </c>
      <c r="H96" s="83">
        <f t="shared" si="2"/>
        <v>2010000</v>
      </c>
      <c r="J96" s="306">
        <f t="shared" si="3"/>
        <v>2010000</v>
      </c>
    </row>
    <row r="97" spans="1:10" ht="47.25">
      <c r="A97" s="88" t="s">
        <v>349</v>
      </c>
      <c r="B97" s="87" t="s">
        <v>526</v>
      </c>
      <c r="C97" s="85"/>
      <c r="D97" s="85"/>
      <c r="E97" s="85"/>
      <c r="F97" s="25"/>
      <c r="G97" s="83"/>
      <c r="H97" s="83">
        <f t="shared" si="2"/>
        <v>0</v>
      </c>
      <c r="J97" s="306">
        <f t="shared" si="3"/>
        <v>0</v>
      </c>
    </row>
    <row r="98" spans="1:10" ht="31.5">
      <c r="A98" s="88" t="s">
        <v>349</v>
      </c>
      <c r="B98" s="87" t="s">
        <v>528</v>
      </c>
      <c r="C98" s="85"/>
      <c r="D98" s="85"/>
      <c r="E98" s="85"/>
      <c r="F98" s="85"/>
      <c r="G98" s="83"/>
      <c r="H98" s="83">
        <f t="shared" si="2"/>
        <v>0</v>
      </c>
      <c r="J98" s="306">
        <f t="shared" si="3"/>
        <v>0</v>
      </c>
    </row>
    <row r="99" spans="1:10" ht="63">
      <c r="A99" s="88">
        <v>5</v>
      </c>
      <c r="B99" s="87" t="s">
        <v>532</v>
      </c>
      <c r="C99" s="85"/>
      <c r="D99" s="85"/>
      <c r="E99" s="85" t="s">
        <v>111</v>
      </c>
      <c r="F99" s="85">
        <v>1</v>
      </c>
      <c r="G99" s="83">
        <v>2010000</v>
      </c>
      <c r="H99" s="83">
        <f t="shared" si="2"/>
        <v>2010000</v>
      </c>
      <c r="J99" s="306">
        <f t="shared" si="3"/>
        <v>2010000</v>
      </c>
    </row>
    <row r="100" spans="1:10" ht="47.25">
      <c r="A100" s="88" t="s">
        <v>349</v>
      </c>
      <c r="B100" s="87" t="s">
        <v>526</v>
      </c>
      <c r="C100" s="85"/>
      <c r="D100" s="85"/>
      <c r="E100" s="85"/>
      <c r="F100" s="85"/>
      <c r="G100" s="83"/>
      <c r="H100" s="83">
        <f t="shared" si="2"/>
        <v>0</v>
      </c>
      <c r="J100" s="306">
        <f t="shared" si="3"/>
        <v>0</v>
      </c>
    </row>
    <row r="101" spans="1:10" ht="47.25">
      <c r="A101" s="88">
        <v>6</v>
      </c>
      <c r="B101" s="87" t="s">
        <v>533</v>
      </c>
      <c r="C101" s="85"/>
      <c r="D101" s="85"/>
      <c r="E101" s="85" t="s">
        <v>111</v>
      </c>
      <c r="F101" s="85">
        <v>4</v>
      </c>
      <c r="G101" s="83">
        <v>2546550</v>
      </c>
      <c r="H101" s="83">
        <f t="shared" si="2"/>
        <v>10186200</v>
      </c>
      <c r="J101" s="306">
        <f t="shared" si="3"/>
        <v>10186200</v>
      </c>
    </row>
    <row r="102" spans="1:10" ht="63">
      <c r="A102" s="88" t="s">
        <v>349</v>
      </c>
      <c r="B102" s="87" t="s">
        <v>534</v>
      </c>
      <c r="C102" s="85"/>
      <c r="D102" s="85"/>
      <c r="E102" s="85"/>
      <c r="F102" s="85"/>
      <c r="G102" s="83"/>
      <c r="H102" s="83">
        <f t="shared" si="2"/>
        <v>0</v>
      </c>
      <c r="J102" s="306">
        <f t="shared" si="3"/>
        <v>0</v>
      </c>
    </row>
    <row r="103" spans="1:10" ht="31.5">
      <c r="A103" s="88" t="s">
        <v>349</v>
      </c>
      <c r="B103" s="87" t="s">
        <v>535</v>
      </c>
      <c r="C103" s="85"/>
      <c r="D103" s="85"/>
      <c r="E103" s="85"/>
      <c r="F103" s="85"/>
      <c r="G103" s="83"/>
      <c r="H103" s="83">
        <f t="shared" si="2"/>
        <v>0</v>
      </c>
      <c r="J103" s="306">
        <f t="shared" si="3"/>
        <v>0</v>
      </c>
    </row>
    <row r="104" spans="1:10" ht="31.5">
      <c r="A104" s="88" t="s">
        <v>349</v>
      </c>
      <c r="B104" s="87" t="s">
        <v>536</v>
      </c>
      <c r="C104" s="85"/>
      <c r="D104" s="85"/>
      <c r="E104" s="85"/>
      <c r="F104" s="85"/>
      <c r="G104" s="83"/>
      <c r="H104" s="83">
        <f t="shared" si="2"/>
        <v>0</v>
      </c>
      <c r="J104" s="306">
        <f t="shared" si="3"/>
        <v>0</v>
      </c>
    </row>
    <row r="105" spans="1:10" ht="47.25">
      <c r="A105" s="88">
        <v>7</v>
      </c>
      <c r="B105" s="87" t="s">
        <v>537</v>
      </c>
      <c r="C105" s="85"/>
      <c r="D105" s="85"/>
      <c r="E105" s="85" t="s">
        <v>111</v>
      </c>
      <c r="F105" s="85">
        <v>4</v>
      </c>
      <c r="G105" s="83">
        <v>554000</v>
      </c>
      <c r="H105" s="83">
        <f t="shared" si="2"/>
        <v>2216000</v>
      </c>
      <c r="J105" s="306">
        <f t="shared" si="3"/>
        <v>2216000</v>
      </c>
    </row>
    <row r="106" spans="1:10" ht="47.25">
      <c r="A106" s="88" t="s">
        <v>349</v>
      </c>
      <c r="B106" s="87" t="s">
        <v>538</v>
      </c>
      <c r="C106" s="85"/>
      <c r="D106" s="85"/>
      <c r="E106" s="85" t="s">
        <v>63</v>
      </c>
      <c r="F106" s="85">
        <v>2</v>
      </c>
      <c r="G106" s="83">
        <v>81000</v>
      </c>
      <c r="H106" s="83">
        <f t="shared" si="2"/>
        <v>162000</v>
      </c>
      <c r="J106" s="306">
        <f t="shared" si="3"/>
        <v>162000</v>
      </c>
    </row>
    <row r="107" spans="1:10" ht="47.25">
      <c r="A107" s="88">
        <v>8</v>
      </c>
      <c r="B107" s="87" t="s">
        <v>539</v>
      </c>
      <c r="C107" s="85"/>
      <c r="D107" s="85"/>
      <c r="E107" s="85" t="s">
        <v>111</v>
      </c>
      <c r="F107" s="85">
        <v>4</v>
      </c>
      <c r="G107" s="83">
        <v>1633333.3333333333</v>
      </c>
      <c r="H107" s="83">
        <f t="shared" si="2"/>
        <v>6533333.333333333</v>
      </c>
      <c r="J107" s="306">
        <f t="shared" si="3"/>
        <v>6533333.333333333</v>
      </c>
    </row>
    <row r="108" spans="1:10" ht="47.25">
      <c r="A108" s="88" t="s">
        <v>349</v>
      </c>
      <c r="B108" s="87" t="s">
        <v>540</v>
      </c>
      <c r="C108" s="85"/>
      <c r="D108" s="85"/>
      <c r="E108" s="85"/>
      <c r="F108" s="85"/>
      <c r="G108" s="83"/>
      <c r="H108" s="83">
        <f t="shared" si="2"/>
        <v>0</v>
      </c>
      <c r="J108" s="306">
        <f t="shared" si="3"/>
        <v>0</v>
      </c>
    </row>
    <row r="109" spans="1:10" ht="47.25">
      <c r="A109" s="88" t="s">
        <v>349</v>
      </c>
      <c r="B109" s="87" t="s">
        <v>541</v>
      </c>
      <c r="C109" s="85"/>
      <c r="D109" s="85"/>
      <c r="E109" s="85"/>
      <c r="F109" s="85"/>
      <c r="G109" s="83"/>
      <c r="H109" s="83">
        <f t="shared" si="2"/>
        <v>0</v>
      </c>
      <c r="J109" s="306">
        <f t="shared" si="3"/>
        <v>0</v>
      </c>
    </row>
    <row r="110" spans="1:10" ht="47.25">
      <c r="A110" s="88" t="s">
        <v>349</v>
      </c>
      <c r="B110" s="87" t="s">
        <v>542</v>
      </c>
      <c r="C110" s="85"/>
      <c r="D110" s="85"/>
      <c r="E110" s="85"/>
      <c r="F110" s="85"/>
      <c r="G110" s="83"/>
      <c r="H110" s="83">
        <f t="shared" si="2"/>
        <v>0</v>
      </c>
      <c r="J110" s="306">
        <f t="shared" si="3"/>
        <v>0</v>
      </c>
    </row>
    <row r="111" spans="1:10" ht="47.25">
      <c r="A111" s="88">
        <v>9</v>
      </c>
      <c r="B111" s="87" t="s">
        <v>543</v>
      </c>
      <c r="C111" s="85"/>
      <c r="D111" s="85"/>
      <c r="E111" s="85" t="s">
        <v>111</v>
      </c>
      <c r="F111" s="85">
        <v>4</v>
      </c>
      <c r="G111" s="83">
        <v>185000</v>
      </c>
      <c r="H111" s="83">
        <f t="shared" si="2"/>
        <v>740000</v>
      </c>
      <c r="J111" s="306">
        <f t="shared" si="3"/>
        <v>740000</v>
      </c>
    </row>
    <row r="112" spans="1:10" ht="47.25">
      <c r="A112" s="88" t="s">
        <v>349</v>
      </c>
      <c r="B112" s="87" t="s">
        <v>1853</v>
      </c>
      <c r="C112" s="85"/>
      <c r="D112" s="85"/>
      <c r="E112" s="85"/>
      <c r="F112" s="85"/>
      <c r="G112" s="83"/>
      <c r="H112" s="83">
        <f t="shared" si="2"/>
        <v>0</v>
      </c>
      <c r="J112" s="306">
        <f t="shared" si="3"/>
        <v>0</v>
      </c>
    </row>
    <row r="113" spans="1:10" ht="31.5">
      <c r="A113" s="88">
        <v>10</v>
      </c>
      <c r="B113" s="87" t="s">
        <v>544</v>
      </c>
      <c r="C113" s="85"/>
      <c r="D113" s="85"/>
      <c r="E113" s="85" t="s">
        <v>111</v>
      </c>
      <c r="F113" s="85">
        <v>4</v>
      </c>
      <c r="G113" s="83">
        <v>674471.429</v>
      </c>
      <c r="H113" s="83">
        <f t="shared" si="2"/>
        <v>2697885.716</v>
      </c>
      <c r="J113" s="306">
        <f t="shared" si="3"/>
        <v>2697885.716</v>
      </c>
    </row>
    <row r="114" spans="1:10" ht="31.5">
      <c r="A114" s="89" t="s">
        <v>349</v>
      </c>
      <c r="B114" s="795" t="s">
        <v>545</v>
      </c>
      <c r="C114" s="794"/>
      <c r="D114" s="794"/>
      <c r="E114" s="794"/>
      <c r="F114" s="794"/>
      <c r="G114" s="82"/>
      <c r="H114" s="83">
        <f t="shared" si="2"/>
        <v>0</v>
      </c>
      <c r="J114" s="306">
        <f t="shared" si="3"/>
        <v>0</v>
      </c>
    </row>
    <row r="115" spans="1:10" ht="47.25">
      <c r="A115" s="88" t="s">
        <v>349</v>
      </c>
      <c r="B115" s="87" t="s">
        <v>546</v>
      </c>
      <c r="C115" s="85"/>
      <c r="D115" s="85"/>
      <c r="E115" s="85"/>
      <c r="F115" s="85"/>
      <c r="G115" s="83"/>
      <c r="H115" s="83">
        <f t="shared" si="2"/>
        <v>0</v>
      </c>
      <c r="J115" s="306">
        <f t="shared" si="3"/>
        <v>0</v>
      </c>
    </row>
    <row r="116" spans="1:10" ht="63">
      <c r="A116" s="88" t="s">
        <v>349</v>
      </c>
      <c r="B116" s="87" t="s">
        <v>547</v>
      </c>
      <c r="C116" s="85"/>
      <c r="D116" s="85"/>
      <c r="E116" s="85" t="s">
        <v>63</v>
      </c>
      <c r="F116" s="85">
        <v>14</v>
      </c>
      <c r="G116" s="83">
        <v>81000</v>
      </c>
      <c r="H116" s="83">
        <f t="shared" si="2"/>
        <v>1134000</v>
      </c>
      <c r="J116" s="306">
        <f t="shared" si="3"/>
        <v>1134000</v>
      </c>
    </row>
    <row r="117" spans="1:10" ht="31.5">
      <c r="A117" s="88" t="s">
        <v>349</v>
      </c>
      <c r="B117" s="87" t="s">
        <v>548</v>
      </c>
      <c r="C117" s="85"/>
      <c r="D117" s="85"/>
      <c r="E117" s="85"/>
      <c r="F117" s="85"/>
      <c r="G117" s="83"/>
      <c r="H117" s="83">
        <f t="shared" si="2"/>
        <v>0</v>
      </c>
      <c r="J117" s="306">
        <f t="shared" si="3"/>
        <v>0</v>
      </c>
    </row>
    <row r="118" spans="1:10">
      <c r="A118" s="88" t="s">
        <v>139</v>
      </c>
      <c r="B118" s="87" t="s">
        <v>549</v>
      </c>
      <c r="C118" s="85"/>
      <c r="D118" s="85"/>
      <c r="E118" s="85"/>
      <c r="F118" s="85"/>
      <c r="G118" s="83"/>
      <c r="H118" s="83">
        <f t="shared" si="2"/>
        <v>0</v>
      </c>
      <c r="J118" s="306">
        <f t="shared" si="3"/>
        <v>0</v>
      </c>
    </row>
    <row r="119" spans="1:10" ht="31.5">
      <c r="A119" s="88">
        <v>1</v>
      </c>
      <c r="B119" s="87" t="s">
        <v>550</v>
      </c>
      <c r="C119" s="85"/>
      <c r="D119" s="85"/>
      <c r="E119" s="85" t="s">
        <v>111</v>
      </c>
      <c r="F119" s="85">
        <v>2</v>
      </c>
      <c r="G119" s="83">
        <v>674471.429</v>
      </c>
      <c r="H119" s="83">
        <f t="shared" si="2"/>
        <v>1348942.858</v>
      </c>
      <c r="J119" s="306">
        <f t="shared" si="3"/>
        <v>1348942.858</v>
      </c>
    </row>
    <row r="120" spans="1:10" ht="31.5">
      <c r="A120" s="88" t="s">
        <v>349</v>
      </c>
      <c r="B120" s="87" t="s">
        <v>551</v>
      </c>
      <c r="C120" s="85"/>
      <c r="D120" s="85"/>
      <c r="E120" s="85"/>
      <c r="F120" s="85"/>
      <c r="G120" s="83"/>
      <c r="H120" s="83">
        <f t="shared" si="2"/>
        <v>0</v>
      </c>
      <c r="J120" s="306">
        <f t="shared" si="3"/>
        <v>0</v>
      </c>
    </row>
    <row r="121" spans="1:10" ht="47.25">
      <c r="A121" s="88" t="s">
        <v>349</v>
      </c>
      <c r="B121" s="87" t="s">
        <v>552</v>
      </c>
      <c r="C121" s="85"/>
      <c r="D121" s="85"/>
      <c r="E121" s="85"/>
      <c r="F121" s="85"/>
      <c r="G121" s="83"/>
      <c r="H121" s="83">
        <f t="shared" si="2"/>
        <v>0</v>
      </c>
      <c r="J121" s="306">
        <f t="shared" si="3"/>
        <v>0</v>
      </c>
    </row>
    <row r="122" spans="1:10" ht="31.5">
      <c r="A122" s="89">
        <v>2</v>
      </c>
      <c r="B122" s="795" t="s">
        <v>553</v>
      </c>
      <c r="C122" s="85"/>
      <c r="D122" s="85"/>
      <c r="E122" s="85" t="s">
        <v>111</v>
      </c>
      <c r="F122" s="85">
        <v>2</v>
      </c>
      <c r="G122" s="83">
        <v>277000</v>
      </c>
      <c r="H122" s="83">
        <f t="shared" si="2"/>
        <v>554000</v>
      </c>
      <c r="J122" s="306">
        <f t="shared" si="3"/>
        <v>554000</v>
      </c>
    </row>
    <row r="123" spans="1:10" ht="63">
      <c r="A123" s="88" t="s">
        <v>349</v>
      </c>
      <c r="B123" s="87" t="s">
        <v>554</v>
      </c>
      <c r="C123" s="85"/>
      <c r="D123" s="85"/>
      <c r="E123" s="85"/>
      <c r="F123" s="85"/>
      <c r="G123" s="83"/>
      <c r="H123" s="83">
        <f t="shared" si="2"/>
        <v>0</v>
      </c>
      <c r="J123" s="306">
        <f t="shared" si="3"/>
        <v>0</v>
      </c>
    </row>
    <row r="124" spans="1:10" ht="31.5">
      <c r="A124" s="88">
        <v>3</v>
      </c>
      <c r="B124" s="87" t="s">
        <v>555</v>
      </c>
      <c r="C124" s="85"/>
      <c r="D124" s="85"/>
      <c r="E124" s="85" t="s">
        <v>63</v>
      </c>
      <c r="F124" s="85">
        <v>12</v>
      </c>
      <c r="G124" s="83">
        <v>81000</v>
      </c>
      <c r="H124" s="83">
        <f t="shared" si="2"/>
        <v>972000</v>
      </c>
      <c r="J124" s="306">
        <f t="shared" si="3"/>
        <v>972000</v>
      </c>
    </row>
    <row r="125" spans="1:10" ht="47.25">
      <c r="A125" s="88" t="s">
        <v>349</v>
      </c>
      <c r="B125" s="87" t="s">
        <v>556</v>
      </c>
      <c r="C125" s="85"/>
      <c r="D125" s="85"/>
      <c r="E125" s="85" t="s">
        <v>557</v>
      </c>
      <c r="F125" s="85">
        <v>2</v>
      </c>
      <c r="G125" s="83">
        <v>201000</v>
      </c>
      <c r="H125" s="83">
        <f t="shared" si="2"/>
        <v>402000</v>
      </c>
      <c r="J125" s="306">
        <f t="shared" si="3"/>
        <v>402000</v>
      </c>
    </row>
    <row r="126" spans="1:10">
      <c r="A126" s="88" t="s">
        <v>139</v>
      </c>
      <c r="B126" s="87" t="s">
        <v>558</v>
      </c>
      <c r="C126" s="85"/>
      <c r="D126" s="85"/>
      <c r="E126" s="85"/>
      <c r="F126" s="25"/>
      <c r="G126" s="83"/>
      <c r="H126" s="83">
        <f t="shared" si="2"/>
        <v>0</v>
      </c>
      <c r="J126" s="306">
        <f t="shared" si="3"/>
        <v>0</v>
      </c>
    </row>
    <row r="127" spans="1:10">
      <c r="A127" s="25">
        <v>1</v>
      </c>
      <c r="B127" s="27" t="s">
        <v>559</v>
      </c>
      <c r="C127" s="25"/>
      <c r="D127" s="25"/>
      <c r="E127" s="25"/>
      <c r="F127" s="25"/>
      <c r="G127" s="83"/>
      <c r="H127" s="83">
        <f t="shared" si="2"/>
        <v>0</v>
      </c>
      <c r="J127" s="306">
        <f t="shared" si="3"/>
        <v>0</v>
      </c>
    </row>
    <row r="128" spans="1:10" ht="31.5">
      <c r="A128" s="25" t="s">
        <v>349</v>
      </c>
      <c r="B128" s="26" t="s">
        <v>560</v>
      </c>
      <c r="C128" s="25"/>
      <c r="D128" s="25"/>
      <c r="E128" s="25" t="s">
        <v>63</v>
      </c>
      <c r="F128" s="25">
        <v>3</v>
      </c>
      <c r="G128" s="83">
        <v>201000</v>
      </c>
      <c r="H128" s="83">
        <f t="shared" si="2"/>
        <v>603000</v>
      </c>
      <c r="J128" s="306">
        <f t="shared" si="3"/>
        <v>603000</v>
      </c>
    </row>
    <row r="129" spans="1:10" ht="47.25">
      <c r="A129" s="25" t="s">
        <v>349</v>
      </c>
      <c r="B129" s="26" t="s">
        <v>561</v>
      </c>
      <c r="C129" s="25"/>
      <c r="D129" s="25"/>
      <c r="E129" s="25"/>
      <c r="F129" s="25"/>
      <c r="G129" s="83"/>
      <c r="H129" s="83">
        <f t="shared" si="2"/>
        <v>0</v>
      </c>
      <c r="J129" s="306">
        <f t="shared" si="3"/>
        <v>0</v>
      </c>
    </row>
    <row r="130" spans="1:10" ht="31.5">
      <c r="A130" s="29" t="s">
        <v>349</v>
      </c>
      <c r="B130" s="79" t="s">
        <v>562</v>
      </c>
      <c r="C130" s="29"/>
      <c r="D130" s="29"/>
      <c r="E130" s="29" t="s">
        <v>111</v>
      </c>
      <c r="F130" s="29">
        <v>1</v>
      </c>
      <c r="G130" s="82">
        <v>337239.9999</v>
      </c>
      <c r="H130" s="83">
        <f t="shared" si="2"/>
        <v>337239.9999</v>
      </c>
      <c r="J130" s="306">
        <f t="shared" si="3"/>
        <v>337239.9999</v>
      </c>
    </row>
    <row r="131" spans="1:10" ht="31.5">
      <c r="A131" s="29" t="s">
        <v>139</v>
      </c>
      <c r="B131" s="79" t="s">
        <v>563</v>
      </c>
      <c r="C131" s="25"/>
      <c r="D131" s="25"/>
      <c r="E131" s="25"/>
      <c r="F131" s="25">
        <v>2</v>
      </c>
      <c r="G131" s="83"/>
      <c r="H131" s="83">
        <f t="shared" si="2"/>
        <v>0</v>
      </c>
      <c r="J131" s="306">
        <f t="shared" si="3"/>
        <v>0</v>
      </c>
    </row>
    <row r="132" spans="1:10" ht="31.5">
      <c r="A132" s="25"/>
      <c r="B132" s="84" t="s">
        <v>564</v>
      </c>
      <c r="C132" s="25"/>
      <c r="D132" s="25"/>
      <c r="E132" s="25" t="s">
        <v>174</v>
      </c>
      <c r="F132" s="25">
        <v>0.87</v>
      </c>
      <c r="G132" s="83">
        <v>1322298.851</v>
      </c>
      <c r="H132" s="83">
        <f t="shared" si="2"/>
        <v>1150400.00037</v>
      </c>
      <c r="J132" s="306">
        <f t="shared" si="3"/>
        <v>1150400.00037</v>
      </c>
    </row>
    <row r="133" spans="1:10">
      <c r="A133" s="29"/>
      <c r="B133" s="79" t="s">
        <v>565</v>
      </c>
      <c r="C133" s="29"/>
      <c r="D133" s="29"/>
      <c r="E133" s="29" t="s">
        <v>174</v>
      </c>
      <c r="F133" s="29">
        <v>4.84</v>
      </c>
      <c r="G133" s="83">
        <v>1322298.851</v>
      </c>
      <c r="H133" s="83">
        <f t="shared" si="2"/>
        <v>6399926.43884</v>
      </c>
      <c r="J133" s="306">
        <f t="shared" si="3"/>
        <v>6399926.43884</v>
      </c>
    </row>
    <row r="134" spans="1:10" s="307" customFormat="1">
      <c r="A134" s="29" t="s">
        <v>37</v>
      </c>
      <c r="B134" s="79" t="s">
        <v>1647</v>
      </c>
      <c r="C134" s="29"/>
      <c r="D134" s="29"/>
      <c r="E134" s="29"/>
      <c r="F134" s="29"/>
      <c r="G134" s="82"/>
      <c r="H134" s="82">
        <f t="shared" si="2"/>
        <v>0</v>
      </c>
      <c r="J134" s="308">
        <f t="shared" si="3"/>
        <v>0</v>
      </c>
    </row>
    <row r="135" spans="1:10" s="307" customFormat="1">
      <c r="A135" s="29" t="s">
        <v>89</v>
      </c>
      <c r="B135" s="79" t="s">
        <v>566</v>
      </c>
      <c r="C135" s="29"/>
      <c r="D135" s="29"/>
      <c r="E135" s="29"/>
      <c r="F135" s="29"/>
      <c r="G135" s="82"/>
      <c r="H135" s="82">
        <f t="shared" si="2"/>
        <v>0</v>
      </c>
      <c r="J135" s="308">
        <f t="shared" si="3"/>
        <v>0</v>
      </c>
    </row>
    <row r="136" spans="1:10">
      <c r="A136" s="25"/>
      <c r="B136" s="84" t="s">
        <v>567</v>
      </c>
      <c r="C136" s="25"/>
      <c r="D136" s="25" t="s">
        <v>188</v>
      </c>
      <c r="E136" s="25" t="s">
        <v>568</v>
      </c>
      <c r="F136" s="25">
        <v>20</v>
      </c>
      <c r="G136" s="83">
        <v>32940</v>
      </c>
      <c r="H136" s="83">
        <f t="shared" si="2"/>
        <v>658800</v>
      </c>
      <c r="J136" s="306">
        <f t="shared" si="3"/>
        <v>658800</v>
      </c>
    </row>
    <row r="137" spans="1:10" s="307" customFormat="1">
      <c r="A137" s="29" t="s">
        <v>101</v>
      </c>
      <c r="B137" s="79" t="s">
        <v>456</v>
      </c>
      <c r="C137" s="29"/>
      <c r="D137" s="29"/>
      <c r="E137" s="29"/>
      <c r="F137" s="29"/>
      <c r="G137" s="82"/>
      <c r="H137" s="82">
        <f t="shared" si="2"/>
        <v>0</v>
      </c>
      <c r="J137" s="308">
        <f t="shared" si="3"/>
        <v>0</v>
      </c>
    </row>
    <row r="138" spans="1:10">
      <c r="A138" s="25"/>
      <c r="B138" s="84" t="s">
        <v>569</v>
      </c>
      <c r="C138" s="25" t="s">
        <v>570</v>
      </c>
      <c r="D138" s="25" t="s">
        <v>188</v>
      </c>
      <c r="E138" s="25" t="s">
        <v>189</v>
      </c>
      <c r="F138" s="25">
        <v>7</v>
      </c>
      <c r="G138" s="83">
        <v>974160</v>
      </c>
      <c r="H138" s="83">
        <f t="shared" si="2"/>
        <v>6819120</v>
      </c>
      <c r="J138" s="306">
        <f t="shared" si="3"/>
        <v>6819120</v>
      </c>
    </row>
    <row r="139" spans="1:10">
      <c r="A139" s="25"/>
      <c r="B139" s="84" t="s">
        <v>571</v>
      </c>
      <c r="C139" s="25" t="s">
        <v>572</v>
      </c>
      <c r="D139" s="25"/>
      <c r="E139" s="25" t="s">
        <v>189</v>
      </c>
      <c r="F139" s="25">
        <v>2</v>
      </c>
      <c r="G139" s="83">
        <v>4180000.0000000005</v>
      </c>
      <c r="H139" s="83">
        <f t="shared" si="2"/>
        <v>8360000.0000000009</v>
      </c>
      <c r="J139" s="306">
        <f t="shared" si="3"/>
        <v>8360000.0000000009</v>
      </c>
    </row>
    <row r="140" spans="1:10">
      <c r="A140" s="25"/>
      <c r="B140" s="84" t="s">
        <v>186</v>
      </c>
      <c r="C140" s="25" t="s">
        <v>573</v>
      </c>
      <c r="D140" s="25"/>
      <c r="E140" s="25" t="s">
        <v>189</v>
      </c>
      <c r="F140" s="25">
        <v>4</v>
      </c>
      <c r="G140" s="83">
        <v>1320000</v>
      </c>
      <c r="H140" s="83">
        <f t="shared" si="2"/>
        <v>5280000</v>
      </c>
      <c r="J140" s="306">
        <f t="shared" si="3"/>
        <v>5280000</v>
      </c>
    </row>
    <row r="141" spans="1:10" ht="31.5">
      <c r="A141" s="25"/>
      <c r="B141" s="84" t="s">
        <v>574</v>
      </c>
      <c r="C141" s="25" t="s">
        <v>575</v>
      </c>
      <c r="D141" s="25"/>
      <c r="E141" s="25" t="s">
        <v>146</v>
      </c>
      <c r="F141" s="25">
        <v>5</v>
      </c>
      <c r="G141" s="83">
        <v>11500</v>
      </c>
      <c r="H141" s="83">
        <f t="shared" si="2"/>
        <v>57500</v>
      </c>
      <c r="J141" s="306">
        <f t="shared" si="3"/>
        <v>57500</v>
      </c>
    </row>
    <row r="142" spans="1:10">
      <c r="A142" s="25"/>
      <c r="B142" s="84" t="s">
        <v>576</v>
      </c>
      <c r="C142" s="25" t="s">
        <v>577</v>
      </c>
      <c r="D142" s="25"/>
      <c r="E142" s="25" t="s">
        <v>111</v>
      </c>
      <c r="F142" s="25">
        <v>28</v>
      </c>
      <c r="G142" s="83">
        <v>1100</v>
      </c>
      <c r="H142" s="83">
        <f t="shared" ref="H142:H207" si="4">F142*G142</f>
        <v>30800</v>
      </c>
      <c r="J142" s="306">
        <f t="shared" ref="J142:J187" si="5">F142*G142</f>
        <v>30800</v>
      </c>
    </row>
    <row r="143" spans="1:10">
      <c r="A143" s="25"/>
      <c r="B143" s="84" t="s">
        <v>578</v>
      </c>
      <c r="C143" s="25" t="s">
        <v>577</v>
      </c>
      <c r="D143" s="25"/>
      <c r="E143" s="25" t="s">
        <v>111</v>
      </c>
      <c r="F143" s="25">
        <v>28</v>
      </c>
      <c r="G143" s="83">
        <v>3850.0000000000005</v>
      </c>
      <c r="H143" s="83">
        <f t="shared" si="4"/>
        <v>107800.00000000001</v>
      </c>
      <c r="J143" s="306">
        <f t="shared" si="5"/>
        <v>107800.00000000001</v>
      </c>
    </row>
    <row r="144" spans="1:10">
      <c r="A144" s="25"/>
      <c r="B144" s="84" t="s">
        <v>576</v>
      </c>
      <c r="C144" s="25" t="s">
        <v>579</v>
      </c>
      <c r="D144" s="25"/>
      <c r="E144" s="25" t="s">
        <v>111</v>
      </c>
      <c r="F144" s="25">
        <v>4</v>
      </c>
      <c r="G144" s="83">
        <v>880</v>
      </c>
      <c r="H144" s="83">
        <f t="shared" si="4"/>
        <v>3520</v>
      </c>
      <c r="J144" s="306">
        <f t="shared" si="5"/>
        <v>3520</v>
      </c>
    </row>
    <row r="145" spans="1:10">
      <c r="A145" s="29"/>
      <c r="B145" s="84" t="s">
        <v>578</v>
      </c>
      <c r="C145" s="25" t="s">
        <v>579</v>
      </c>
      <c r="D145" s="25"/>
      <c r="E145" s="25" t="s">
        <v>111</v>
      </c>
      <c r="F145" s="25">
        <v>4</v>
      </c>
      <c r="G145" s="83">
        <v>1320</v>
      </c>
      <c r="H145" s="83">
        <f t="shared" si="4"/>
        <v>5280</v>
      </c>
      <c r="J145" s="306">
        <f t="shared" si="5"/>
        <v>5280</v>
      </c>
    </row>
    <row r="146" spans="1:10">
      <c r="A146" s="25"/>
      <c r="B146" s="84" t="s">
        <v>580</v>
      </c>
      <c r="C146" s="25"/>
      <c r="D146" s="25"/>
      <c r="E146" s="25" t="s">
        <v>93</v>
      </c>
      <c r="F146" s="25">
        <v>0.73</v>
      </c>
      <c r="G146" s="83">
        <v>738720</v>
      </c>
      <c r="H146" s="83">
        <f t="shared" si="4"/>
        <v>539265.6</v>
      </c>
      <c r="J146" s="306">
        <f t="shared" si="5"/>
        <v>539265.6</v>
      </c>
    </row>
    <row r="147" spans="1:10" ht="31.5">
      <c r="A147" s="25"/>
      <c r="B147" s="796" t="s">
        <v>581</v>
      </c>
      <c r="C147" s="25" t="s">
        <v>582</v>
      </c>
      <c r="D147" s="25" t="s">
        <v>188</v>
      </c>
      <c r="E147" s="797" t="s">
        <v>204</v>
      </c>
      <c r="F147" s="797">
        <v>3.240000000000002</v>
      </c>
      <c r="G147" s="83">
        <v>221400</v>
      </c>
      <c r="H147" s="83">
        <f t="shared" si="4"/>
        <v>717336.00000000047</v>
      </c>
      <c r="J147" s="306">
        <f t="shared" si="5"/>
        <v>717336.00000000047</v>
      </c>
    </row>
    <row r="148" spans="1:10">
      <c r="A148" s="25"/>
      <c r="B148" s="796" t="s">
        <v>583</v>
      </c>
      <c r="C148" s="25"/>
      <c r="D148" s="25"/>
      <c r="E148" s="797" t="s">
        <v>584</v>
      </c>
      <c r="F148" s="797">
        <v>6</v>
      </c>
      <c r="G148" s="83">
        <v>1250000</v>
      </c>
      <c r="H148" s="83">
        <f t="shared" si="4"/>
        <v>7500000</v>
      </c>
      <c r="J148" s="306">
        <f t="shared" si="5"/>
        <v>7500000</v>
      </c>
    </row>
    <row r="149" spans="1:10" s="307" customFormat="1">
      <c r="A149" s="29" t="s">
        <v>126</v>
      </c>
      <c r="B149" s="798" t="s">
        <v>585</v>
      </c>
      <c r="C149" s="29"/>
      <c r="D149" s="29"/>
      <c r="E149" s="799"/>
      <c r="F149" s="799"/>
      <c r="G149" s="82"/>
      <c r="H149" s="82">
        <f t="shared" si="4"/>
        <v>0</v>
      </c>
      <c r="J149" s="308">
        <f t="shared" si="5"/>
        <v>0</v>
      </c>
    </row>
    <row r="150" spans="1:10">
      <c r="A150" s="25"/>
      <c r="B150" s="796" t="s">
        <v>586</v>
      </c>
      <c r="C150" s="25"/>
      <c r="D150" s="25" t="s">
        <v>39</v>
      </c>
      <c r="E150" s="797" t="s">
        <v>46</v>
      </c>
      <c r="F150" s="797">
        <v>3</v>
      </c>
      <c r="G150" s="83">
        <v>10800</v>
      </c>
      <c r="H150" s="83">
        <f t="shared" si="4"/>
        <v>32400</v>
      </c>
      <c r="J150" s="306">
        <f t="shared" si="5"/>
        <v>32400</v>
      </c>
    </row>
    <row r="151" spans="1:10">
      <c r="A151" s="25"/>
      <c r="B151" s="796" t="s">
        <v>587</v>
      </c>
      <c r="C151" s="25"/>
      <c r="D151" s="25"/>
      <c r="E151" s="797" t="s">
        <v>146</v>
      </c>
      <c r="F151" s="797">
        <v>1</v>
      </c>
      <c r="G151" s="83">
        <v>12538350.000000002</v>
      </c>
      <c r="H151" s="83">
        <f t="shared" si="4"/>
        <v>12538350.000000002</v>
      </c>
      <c r="J151" s="306">
        <f t="shared" si="5"/>
        <v>12538350.000000002</v>
      </c>
    </row>
    <row r="152" spans="1:10">
      <c r="A152" s="25"/>
      <c r="B152" s="796" t="s">
        <v>588</v>
      </c>
      <c r="C152" s="25"/>
      <c r="D152" s="25"/>
      <c r="E152" s="797" t="s">
        <v>146</v>
      </c>
      <c r="F152" s="797">
        <v>2</v>
      </c>
      <c r="G152" s="83">
        <v>3795000.0000000005</v>
      </c>
      <c r="H152" s="83">
        <f t="shared" si="4"/>
        <v>7590000.0000000009</v>
      </c>
      <c r="J152" s="306">
        <f t="shared" si="5"/>
        <v>7590000.0000000009</v>
      </c>
    </row>
    <row r="153" spans="1:10">
      <c r="A153" s="25"/>
      <c r="B153" s="796" t="s">
        <v>589</v>
      </c>
      <c r="C153" s="25"/>
      <c r="D153" s="25"/>
      <c r="E153" s="797" t="s">
        <v>63</v>
      </c>
      <c r="F153" s="797">
        <v>140</v>
      </c>
      <c r="G153" s="83">
        <v>88000</v>
      </c>
      <c r="H153" s="83">
        <f t="shared" si="4"/>
        <v>12320000</v>
      </c>
      <c r="J153" s="306">
        <f t="shared" si="5"/>
        <v>12320000</v>
      </c>
    </row>
    <row r="154" spans="1:10">
      <c r="A154" s="25"/>
      <c r="B154" s="796" t="s">
        <v>590</v>
      </c>
      <c r="C154" s="25"/>
      <c r="D154" s="25"/>
      <c r="E154" s="797" t="s">
        <v>111</v>
      </c>
      <c r="F154" s="797">
        <v>10</v>
      </c>
      <c r="G154" s="83">
        <v>92400.000000000015</v>
      </c>
      <c r="H154" s="83">
        <f t="shared" si="4"/>
        <v>924000.00000000012</v>
      </c>
      <c r="J154" s="306">
        <f t="shared" si="5"/>
        <v>924000.00000000012</v>
      </c>
    </row>
    <row r="155" spans="1:10">
      <c r="A155" s="25"/>
      <c r="B155" s="796" t="s">
        <v>591</v>
      </c>
      <c r="C155" s="25"/>
      <c r="D155" s="25"/>
      <c r="E155" s="797" t="s">
        <v>146</v>
      </c>
      <c r="F155" s="797">
        <v>3</v>
      </c>
      <c r="G155" s="83">
        <v>100100.00000000001</v>
      </c>
      <c r="H155" s="83">
        <f t="shared" si="4"/>
        <v>300300.00000000006</v>
      </c>
      <c r="J155" s="306">
        <f t="shared" si="5"/>
        <v>300300.00000000006</v>
      </c>
    </row>
    <row r="156" spans="1:10">
      <c r="A156" s="25"/>
      <c r="B156" s="796" t="s">
        <v>592</v>
      </c>
      <c r="C156" s="25"/>
      <c r="D156" s="25"/>
      <c r="E156" s="797" t="s">
        <v>111</v>
      </c>
      <c r="F156" s="797">
        <v>200</v>
      </c>
      <c r="G156" s="83">
        <v>550</v>
      </c>
      <c r="H156" s="83">
        <f t="shared" si="4"/>
        <v>110000</v>
      </c>
      <c r="J156" s="306">
        <f t="shared" si="5"/>
        <v>110000</v>
      </c>
    </row>
    <row r="157" spans="1:10">
      <c r="A157" s="25"/>
      <c r="B157" s="796" t="s">
        <v>593</v>
      </c>
      <c r="C157" s="25"/>
      <c r="D157" s="25"/>
      <c r="E157" s="797" t="s">
        <v>170</v>
      </c>
      <c r="F157" s="797">
        <v>0.5</v>
      </c>
      <c r="G157" s="83">
        <v>44000</v>
      </c>
      <c r="H157" s="83">
        <f t="shared" si="4"/>
        <v>22000</v>
      </c>
      <c r="J157" s="306">
        <f t="shared" si="5"/>
        <v>22000</v>
      </c>
    </row>
    <row r="158" spans="1:10">
      <c r="A158" s="25"/>
      <c r="B158" s="796" t="s">
        <v>594</v>
      </c>
      <c r="C158" s="25"/>
      <c r="D158" s="25"/>
      <c r="E158" s="797" t="s">
        <v>595</v>
      </c>
      <c r="F158" s="797">
        <v>1</v>
      </c>
      <c r="G158" s="83">
        <v>165000</v>
      </c>
      <c r="H158" s="83">
        <f t="shared" si="4"/>
        <v>165000</v>
      </c>
      <c r="J158" s="306">
        <f t="shared" si="5"/>
        <v>165000</v>
      </c>
    </row>
    <row r="159" spans="1:10">
      <c r="A159" s="25"/>
      <c r="B159" s="796" t="s">
        <v>596</v>
      </c>
      <c r="C159" s="25"/>
      <c r="D159" s="25"/>
      <c r="E159" s="797" t="s">
        <v>204</v>
      </c>
      <c r="F159" s="797">
        <v>0.1</v>
      </c>
      <c r="G159" s="83">
        <v>275000</v>
      </c>
      <c r="H159" s="83">
        <f t="shared" si="4"/>
        <v>27500</v>
      </c>
      <c r="J159" s="306">
        <f t="shared" si="5"/>
        <v>27500</v>
      </c>
    </row>
    <row r="160" spans="1:10">
      <c r="A160" s="25"/>
      <c r="B160" s="798" t="s">
        <v>597</v>
      </c>
      <c r="C160" s="25"/>
      <c r="D160" s="25"/>
      <c r="E160" s="799" t="s">
        <v>595</v>
      </c>
      <c r="F160" s="799">
        <v>1</v>
      </c>
      <c r="G160" s="83">
        <v>198000.00000000003</v>
      </c>
      <c r="H160" s="83">
        <f t="shared" si="4"/>
        <v>198000.00000000003</v>
      </c>
      <c r="J160" s="306">
        <f t="shared" si="5"/>
        <v>198000.00000000003</v>
      </c>
    </row>
    <row r="161" spans="1:10">
      <c r="A161" s="25"/>
      <c r="B161" s="800" t="s">
        <v>598</v>
      </c>
      <c r="C161" s="25"/>
      <c r="D161" s="25"/>
      <c r="E161" s="797" t="s">
        <v>111</v>
      </c>
      <c r="F161" s="797">
        <v>1</v>
      </c>
      <c r="G161" s="83">
        <v>16500</v>
      </c>
      <c r="H161" s="83">
        <f t="shared" si="4"/>
        <v>16500</v>
      </c>
      <c r="J161" s="306">
        <f t="shared" si="5"/>
        <v>16500</v>
      </c>
    </row>
    <row r="162" spans="1:10">
      <c r="A162" s="25"/>
      <c r="B162" s="796" t="s">
        <v>599</v>
      </c>
      <c r="C162" s="25"/>
      <c r="D162" s="25"/>
      <c r="E162" s="797" t="s">
        <v>600</v>
      </c>
      <c r="F162" s="797">
        <v>2</v>
      </c>
      <c r="G162" s="83">
        <v>14850.000000000002</v>
      </c>
      <c r="H162" s="83">
        <f t="shared" si="4"/>
        <v>29700.000000000004</v>
      </c>
      <c r="J162" s="306">
        <f t="shared" si="5"/>
        <v>29700.000000000004</v>
      </c>
    </row>
    <row r="163" spans="1:10">
      <c r="A163" s="25"/>
      <c r="B163" s="796" t="s">
        <v>601</v>
      </c>
      <c r="C163" s="25"/>
      <c r="D163" s="25"/>
      <c r="E163" s="797" t="s">
        <v>600</v>
      </c>
      <c r="F163" s="797">
        <v>1</v>
      </c>
      <c r="G163" s="83">
        <v>12650.000000000002</v>
      </c>
      <c r="H163" s="83">
        <f t="shared" si="4"/>
        <v>12650.000000000002</v>
      </c>
      <c r="J163" s="306">
        <f t="shared" si="5"/>
        <v>12650.000000000002</v>
      </c>
    </row>
    <row r="164" spans="1:10">
      <c r="A164" s="25"/>
      <c r="B164" s="796" t="s">
        <v>1854</v>
      </c>
      <c r="C164" s="25"/>
      <c r="D164" s="25"/>
      <c r="E164" s="797"/>
      <c r="F164" s="797"/>
      <c r="G164" s="83"/>
      <c r="H164" s="83">
        <f t="shared" si="4"/>
        <v>0</v>
      </c>
      <c r="J164" s="306">
        <f t="shared" si="5"/>
        <v>0</v>
      </c>
    </row>
    <row r="165" spans="1:10">
      <c r="A165" s="25"/>
      <c r="B165" s="796" t="s">
        <v>1855</v>
      </c>
      <c r="C165" s="25"/>
      <c r="D165" s="25"/>
      <c r="E165" s="797"/>
      <c r="F165" s="797"/>
      <c r="G165" s="83"/>
      <c r="H165" s="83">
        <f t="shared" si="4"/>
        <v>0</v>
      </c>
      <c r="J165" s="306">
        <f t="shared" si="5"/>
        <v>0</v>
      </c>
    </row>
    <row r="166" spans="1:10">
      <c r="A166" s="25"/>
      <c r="B166" s="796" t="s">
        <v>602</v>
      </c>
      <c r="C166" s="25"/>
      <c r="D166" s="25"/>
      <c r="E166" s="797" t="s">
        <v>111</v>
      </c>
      <c r="F166" s="797">
        <v>4</v>
      </c>
      <c r="G166" s="83">
        <v>400400.00000000006</v>
      </c>
      <c r="H166" s="83">
        <f t="shared" si="4"/>
        <v>1601600.0000000002</v>
      </c>
      <c r="J166" s="306">
        <f t="shared" si="5"/>
        <v>1601600.0000000002</v>
      </c>
    </row>
    <row r="167" spans="1:10">
      <c r="A167" s="25"/>
      <c r="B167" s="796" t="s">
        <v>603</v>
      </c>
      <c r="C167" s="25"/>
      <c r="D167" s="25"/>
      <c r="E167" s="797" t="s">
        <v>111</v>
      </c>
      <c r="F167" s="797">
        <v>4</v>
      </c>
      <c r="G167" s="83">
        <v>271700</v>
      </c>
      <c r="H167" s="83">
        <f t="shared" si="4"/>
        <v>1086800</v>
      </c>
      <c r="J167" s="306">
        <f t="shared" si="5"/>
        <v>1086800</v>
      </c>
    </row>
    <row r="168" spans="1:10">
      <c r="A168" s="25"/>
      <c r="B168" s="800" t="s">
        <v>604</v>
      </c>
      <c r="C168" s="25"/>
      <c r="D168" s="25"/>
      <c r="E168" s="797" t="s">
        <v>111</v>
      </c>
      <c r="F168" s="797">
        <v>3</v>
      </c>
      <c r="G168" s="83">
        <v>228800.00000000003</v>
      </c>
      <c r="H168" s="83">
        <f t="shared" si="4"/>
        <v>686400.00000000012</v>
      </c>
      <c r="J168" s="306">
        <f t="shared" si="5"/>
        <v>686400.00000000012</v>
      </c>
    </row>
    <row r="169" spans="1:10">
      <c r="A169" s="25"/>
      <c r="B169" s="796" t="s">
        <v>605</v>
      </c>
      <c r="C169" s="25"/>
      <c r="D169" s="25"/>
      <c r="E169" s="797" t="s">
        <v>111</v>
      </c>
      <c r="F169" s="797">
        <v>3</v>
      </c>
      <c r="G169" s="83">
        <v>271700</v>
      </c>
      <c r="H169" s="83">
        <f t="shared" si="4"/>
        <v>815100</v>
      </c>
      <c r="J169" s="306">
        <f t="shared" si="5"/>
        <v>815100</v>
      </c>
    </row>
    <row r="170" spans="1:10">
      <c r="A170" s="25"/>
      <c r="B170" s="796" t="s">
        <v>606</v>
      </c>
      <c r="C170" s="25"/>
      <c r="D170" s="25"/>
      <c r="E170" s="797" t="s">
        <v>111</v>
      </c>
      <c r="F170" s="797">
        <v>4</v>
      </c>
      <c r="G170" s="83">
        <v>85800</v>
      </c>
      <c r="H170" s="83">
        <f t="shared" si="4"/>
        <v>343200</v>
      </c>
      <c r="J170" s="306">
        <f t="shared" si="5"/>
        <v>343200</v>
      </c>
    </row>
    <row r="171" spans="1:10">
      <c r="A171" s="25"/>
      <c r="B171" s="796" t="s">
        <v>607</v>
      </c>
      <c r="C171" s="25"/>
      <c r="D171" s="25"/>
      <c r="E171" s="797" t="s">
        <v>111</v>
      </c>
      <c r="F171" s="797">
        <v>2</v>
      </c>
      <c r="G171" s="83">
        <v>171600</v>
      </c>
      <c r="H171" s="83">
        <f t="shared" si="4"/>
        <v>343200</v>
      </c>
      <c r="J171" s="306">
        <f t="shared" si="5"/>
        <v>343200</v>
      </c>
    </row>
    <row r="172" spans="1:10">
      <c r="A172" s="25"/>
      <c r="B172" s="796" t="s">
        <v>1856</v>
      </c>
      <c r="C172" s="25"/>
      <c r="D172" s="25"/>
      <c r="E172" s="797"/>
      <c r="F172" s="797"/>
      <c r="G172" s="83"/>
      <c r="H172" s="83">
        <f t="shared" si="4"/>
        <v>0</v>
      </c>
      <c r="J172" s="306">
        <f t="shared" si="5"/>
        <v>0</v>
      </c>
    </row>
    <row r="173" spans="1:10">
      <c r="A173" s="25"/>
      <c r="B173" s="800" t="s">
        <v>608</v>
      </c>
      <c r="C173" s="25"/>
      <c r="D173" s="25"/>
      <c r="E173" s="797" t="s">
        <v>146</v>
      </c>
      <c r="F173" s="797">
        <v>1</v>
      </c>
      <c r="G173" s="83">
        <v>557700</v>
      </c>
      <c r="H173" s="83">
        <f t="shared" si="4"/>
        <v>557700</v>
      </c>
      <c r="J173" s="306">
        <f t="shared" si="5"/>
        <v>557700</v>
      </c>
    </row>
    <row r="174" spans="1:10">
      <c r="A174" s="25"/>
      <c r="B174" s="796" t="s">
        <v>609</v>
      </c>
      <c r="C174" s="25"/>
      <c r="D174" s="25"/>
      <c r="E174" s="797" t="s">
        <v>111</v>
      </c>
      <c r="F174" s="797">
        <v>2</v>
      </c>
      <c r="G174" s="83">
        <v>171600</v>
      </c>
      <c r="H174" s="83">
        <f t="shared" si="4"/>
        <v>343200</v>
      </c>
      <c r="J174" s="306">
        <f t="shared" si="5"/>
        <v>343200</v>
      </c>
    </row>
    <row r="175" spans="1:10">
      <c r="A175" s="25"/>
      <c r="B175" s="800" t="s">
        <v>610</v>
      </c>
      <c r="C175" s="25"/>
      <c r="D175" s="25"/>
      <c r="E175" s="797" t="s">
        <v>111</v>
      </c>
      <c r="F175" s="797">
        <v>2</v>
      </c>
      <c r="G175" s="83">
        <v>228800.00000000003</v>
      </c>
      <c r="H175" s="83">
        <f t="shared" si="4"/>
        <v>457600.00000000006</v>
      </c>
      <c r="J175" s="306">
        <f t="shared" si="5"/>
        <v>457600.00000000006</v>
      </c>
    </row>
    <row r="176" spans="1:10">
      <c r="A176" s="25"/>
      <c r="B176" s="796" t="s">
        <v>611</v>
      </c>
      <c r="C176" s="25"/>
      <c r="D176" s="25"/>
      <c r="E176" s="797" t="s">
        <v>111</v>
      </c>
      <c r="F176" s="797">
        <v>2</v>
      </c>
      <c r="G176" s="83">
        <v>85800</v>
      </c>
      <c r="H176" s="83">
        <f t="shared" si="4"/>
        <v>171600</v>
      </c>
      <c r="J176" s="306">
        <f t="shared" si="5"/>
        <v>171600</v>
      </c>
    </row>
    <row r="177" spans="1:10">
      <c r="A177" s="25"/>
      <c r="B177" s="796" t="s">
        <v>1857</v>
      </c>
      <c r="C177" s="25"/>
      <c r="D177" s="25"/>
      <c r="E177" s="797"/>
      <c r="F177" s="797"/>
      <c r="G177" s="83"/>
      <c r="H177" s="83">
        <f t="shared" si="4"/>
        <v>0</v>
      </c>
      <c r="J177" s="306">
        <f t="shared" si="5"/>
        <v>0</v>
      </c>
    </row>
    <row r="178" spans="1:10">
      <c r="A178" s="25"/>
      <c r="B178" s="796" t="s">
        <v>612</v>
      </c>
      <c r="C178" s="25"/>
      <c r="D178" s="25"/>
      <c r="E178" s="797" t="s">
        <v>146</v>
      </c>
      <c r="F178" s="797">
        <v>1</v>
      </c>
      <c r="G178" s="83">
        <v>4004000.0000000005</v>
      </c>
      <c r="H178" s="83">
        <f t="shared" si="4"/>
        <v>4004000.0000000005</v>
      </c>
      <c r="J178" s="306">
        <f t="shared" si="5"/>
        <v>4004000.0000000005</v>
      </c>
    </row>
    <row r="179" spans="1:10">
      <c r="A179" s="29"/>
      <c r="B179" s="27" t="s">
        <v>1858</v>
      </c>
      <c r="C179" s="85"/>
      <c r="D179" s="85"/>
      <c r="E179" s="25"/>
      <c r="F179" s="25"/>
      <c r="G179" s="83"/>
      <c r="H179" s="83">
        <f t="shared" si="4"/>
        <v>0</v>
      </c>
      <c r="J179" s="306">
        <f t="shared" si="5"/>
        <v>0</v>
      </c>
    </row>
    <row r="180" spans="1:10">
      <c r="A180" s="29"/>
      <c r="B180" s="79" t="s">
        <v>612</v>
      </c>
      <c r="C180" s="29"/>
      <c r="D180" s="29"/>
      <c r="E180" s="29" t="s">
        <v>146</v>
      </c>
      <c r="F180" s="29">
        <v>1</v>
      </c>
      <c r="G180" s="82">
        <v>5434000</v>
      </c>
      <c r="H180" s="83">
        <f t="shared" si="4"/>
        <v>5434000</v>
      </c>
      <c r="J180" s="306">
        <f t="shared" si="5"/>
        <v>5434000</v>
      </c>
    </row>
    <row r="181" spans="1:10">
      <c r="A181" s="25"/>
      <c r="B181" s="84" t="s">
        <v>613</v>
      </c>
      <c r="C181" s="90"/>
      <c r="D181" s="25"/>
      <c r="E181" s="25" t="s">
        <v>146</v>
      </c>
      <c r="F181" s="25">
        <v>1</v>
      </c>
      <c r="G181" s="83">
        <v>4147000.0000000005</v>
      </c>
      <c r="H181" s="83">
        <f t="shared" si="4"/>
        <v>4147000.0000000005</v>
      </c>
      <c r="J181" s="306">
        <f t="shared" si="5"/>
        <v>4147000.0000000005</v>
      </c>
    </row>
    <row r="182" spans="1:10">
      <c r="A182" s="25"/>
      <c r="B182" s="84" t="s">
        <v>614</v>
      </c>
      <c r="C182" s="25"/>
      <c r="D182" s="25"/>
      <c r="E182" s="25" t="s">
        <v>146</v>
      </c>
      <c r="F182" s="25">
        <v>1</v>
      </c>
      <c r="G182" s="83">
        <v>929500.00000000012</v>
      </c>
      <c r="H182" s="83">
        <f t="shared" si="4"/>
        <v>929500.00000000012</v>
      </c>
      <c r="J182" s="306">
        <f t="shared" si="5"/>
        <v>929500.00000000012</v>
      </c>
    </row>
    <row r="183" spans="1:10" s="420" customFormat="1">
      <c r="A183" s="788" t="s">
        <v>147</v>
      </c>
      <c r="B183" s="801" t="s">
        <v>127</v>
      </c>
      <c r="C183" s="788"/>
      <c r="D183" s="788"/>
      <c r="E183" s="788"/>
      <c r="F183" s="788"/>
      <c r="G183" s="419"/>
      <c r="H183" s="419">
        <f t="shared" si="4"/>
        <v>0</v>
      </c>
      <c r="J183" s="421">
        <f t="shared" si="5"/>
        <v>0</v>
      </c>
    </row>
    <row r="184" spans="1:10" ht="63">
      <c r="A184" s="29">
        <v>1</v>
      </c>
      <c r="B184" s="79" t="s">
        <v>615</v>
      </c>
      <c r="C184" s="29" t="s">
        <v>616</v>
      </c>
      <c r="D184" s="25" t="s">
        <v>1833</v>
      </c>
      <c r="E184" s="29" t="s">
        <v>134</v>
      </c>
      <c r="F184" s="29">
        <v>2</v>
      </c>
      <c r="G184" s="82"/>
      <c r="H184" s="83">
        <f t="shared" si="4"/>
        <v>0</v>
      </c>
      <c r="J184" s="306">
        <f t="shared" si="5"/>
        <v>0</v>
      </c>
    </row>
    <row r="185" spans="1:10">
      <c r="A185" s="25"/>
      <c r="B185" s="84" t="s">
        <v>478</v>
      </c>
      <c r="C185" s="25" t="s">
        <v>1287</v>
      </c>
      <c r="D185" s="25" t="s">
        <v>1833</v>
      </c>
      <c r="E185" s="25" t="s">
        <v>286</v>
      </c>
      <c r="F185" s="25">
        <v>8</v>
      </c>
      <c r="G185" s="83">
        <v>2601720</v>
      </c>
      <c r="H185" s="83">
        <f t="shared" si="4"/>
        <v>20813760</v>
      </c>
      <c r="J185" s="306">
        <f t="shared" si="5"/>
        <v>20813760</v>
      </c>
    </row>
    <row r="186" spans="1:10">
      <c r="A186" s="25"/>
      <c r="B186" s="84" t="s">
        <v>477</v>
      </c>
      <c r="C186" s="25" t="s">
        <v>617</v>
      </c>
      <c r="D186" s="25" t="s">
        <v>1833</v>
      </c>
      <c r="E186" s="25" t="s">
        <v>286</v>
      </c>
      <c r="F186" s="25">
        <v>8</v>
      </c>
      <c r="G186" s="83">
        <v>5684040</v>
      </c>
      <c r="H186" s="83">
        <f t="shared" si="4"/>
        <v>45472320</v>
      </c>
      <c r="J186" s="306">
        <f t="shared" si="5"/>
        <v>45472320</v>
      </c>
    </row>
    <row r="187" spans="1:10">
      <c r="A187" s="25"/>
      <c r="B187" s="84" t="s">
        <v>618</v>
      </c>
      <c r="C187" s="25"/>
      <c r="D187" s="25" t="s">
        <v>1833</v>
      </c>
      <c r="E187" s="25" t="s">
        <v>482</v>
      </c>
      <c r="F187" s="25">
        <v>2</v>
      </c>
      <c r="G187" s="83">
        <v>44314600</v>
      </c>
      <c r="H187" s="83">
        <f t="shared" si="4"/>
        <v>88629200</v>
      </c>
      <c r="J187" s="306">
        <f t="shared" si="5"/>
        <v>88629200</v>
      </c>
    </row>
    <row r="188" spans="1:10">
      <c r="A188" s="25"/>
      <c r="B188" s="84" t="s">
        <v>1828</v>
      </c>
      <c r="C188" s="25" t="s">
        <v>1829</v>
      </c>
      <c r="D188" s="25" t="s">
        <v>1830</v>
      </c>
      <c r="E188" s="25" t="s">
        <v>10</v>
      </c>
      <c r="F188" s="25">
        <v>8</v>
      </c>
      <c r="G188" s="371">
        <f>2180000*1.1</f>
        <v>2398000</v>
      </c>
      <c r="H188" s="371">
        <f>F188*G188</f>
        <v>19184000</v>
      </c>
      <c r="J188" s="306">
        <f>F190*G190</f>
        <v>20292800</v>
      </c>
    </row>
    <row r="189" spans="1:10" ht="31.5">
      <c r="A189" s="25">
        <v>2</v>
      </c>
      <c r="B189" s="84" t="s">
        <v>619</v>
      </c>
      <c r="C189" s="25"/>
      <c r="D189" s="25"/>
      <c r="E189" s="25"/>
      <c r="F189" s="25"/>
      <c r="G189" s="83"/>
      <c r="H189" s="83">
        <f t="shared" si="4"/>
        <v>0</v>
      </c>
      <c r="J189" s="306">
        <f t="shared" ref="J189:J196" si="6">F194*G194</f>
        <v>1379160</v>
      </c>
    </row>
    <row r="190" spans="1:10">
      <c r="A190" s="25"/>
      <c r="B190" s="84" t="s">
        <v>71</v>
      </c>
      <c r="C190" s="25"/>
      <c r="D190" s="25"/>
      <c r="E190" s="25" t="s">
        <v>32</v>
      </c>
      <c r="F190" s="25">
        <v>4</v>
      </c>
      <c r="G190" s="83">
        <v>5073200</v>
      </c>
      <c r="H190" s="83">
        <f t="shared" si="4"/>
        <v>20292800</v>
      </c>
      <c r="J190" s="306">
        <f t="shared" si="6"/>
        <v>5134800.0000000009</v>
      </c>
    </row>
    <row r="191" spans="1:10">
      <c r="A191" s="25"/>
      <c r="B191" s="84" t="s">
        <v>620</v>
      </c>
      <c r="C191" s="25"/>
      <c r="D191" s="25"/>
      <c r="E191" s="25" t="s">
        <v>10</v>
      </c>
      <c r="F191" s="25">
        <v>4</v>
      </c>
      <c r="G191" s="83">
        <v>2362800</v>
      </c>
      <c r="H191" s="83">
        <f t="shared" si="4"/>
        <v>9451200</v>
      </c>
      <c r="J191" s="306">
        <f t="shared" si="6"/>
        <v>0</v>
      </c>
    </row>
    <row r="192" spans="1:10" s="423" customFormat="1" ht="63">
      <c r="A192" s="790"/>
      <c r="B192" s="792" t="s">
        <v>621</v>
      </c>
      <c r="C192" s="790"/>
      <c r="D192" s="790"/>
      <c r="E192" s="790" t="s">
        <v>32</v>
      </c>
      <c r="F192" s="790">
        <v>1</v>
      </c>
      <c r="G192" s="422">
        <v>59973480.000000007</v>
      </c>
      <c r="H192" s="422">
        <f t="shared" si="4"/>
        <v>59973480.000000007</v>
      </c>
      <c r="J192" s="424">
        <f t="shared" si="6"/>
        <v>11214500</v>
      </c>
    </row>
    <row r="193" spans="1:10">
      <c r="A193" s="25"/>
      <c r="B193" s="84" t="s">
        <v>622</v>
      </c>
      <c r="C193" s="25"/>
      <c r="D193" s="25"/>
      <c r="E193" s="25" t="s">
        <v>10</v>
      </c>
      <c r="F193" s="25">
        <v>1</v>
      </c>
      <c r="G193" s="83">
        <v>1149120</v>
      </c>
      <c r="H193" s="83">
        <f t="shared" si="4"/>
        <v>1149120</v>
      </c>
      <c r="J193" s="306">
        <f t="shared" si="6"/>
        <v>52287120</v>
      </c>
    </row>
    <row r="194" spans="1:10">
      <c r="A194" s="25"/>
      <c r="B194" s="84" t="s">
        <v>623</v>
      </c>
      <c r="C194" s="25"/>
      <c r="D194" s="25"/>
      <c r="E194" s="25" t="s">
        <v>10</v>
      </c>
      <c r="F194" s="25">
        <v>1</v>
      </c>
      <c r="G194" s="83">
        <v>1379160</v>
      </c>
      <c r="H194" s="83">
        <f t="shared" si="4"/>
        <v>1379160</v>
      </c>
      <c r="J194" s="306">
        <f t="shared" si="6"/>
        <v>4451760</v>
      </c>
    </row>
    <row r="195" spans="1:10">
      <c r="A195" s="25"/>
      <c r="B195" s="84" t="s">
        <v>624</v>
      </c>
      <c r="C195" s="25"/>
      <c r="D195" s="25"/>
      <c r="E195" s="25" t="s">
        <v>10</v>
      </c>
      <c r="F195" s="25">
        <v>3</v>
      </c>
      <c r="G195" s="83">
        <v>1711600.0000000002</v>
      </c>
      <c r="H195" s="83">
        <f t="shared" si="4"/>
        <v>5134800.0000000009</v>
      </c>
      <c r="J195" s="306">
        <f t="shared" si="6"/>
        <v>27764640</v>
      </c>
    </row>
    <row r="196" spans="1:10">
      <c r="A196" s="25" t="s">
        <v>139</v>
      </c>
      <c r="B196" s="84" t="s">
        <v>625</v>
      </c>
      <c r="C196" s="25"/>
      <c r="D196" s="25"/>
      <c r="E196" s="25"/>
      <c r="F196" s="25"/>
      <c r="G196" s="83"/>
      <c r="H196" s="83">
        <f t="shared" si="4"/>
        <v>0</v>
      </c>
      <c r="J196" s="306">
        <f t="shared" si="6"/>
        <v>87138720</v>
      </c>
    </row>
    <row r="197" spans="1:10">
      <c r="A197" s="25"/>
      <c r="B197" s="84" t="s">
        <v>626</v>
      </c>
      <c r="C197" s="25"/>
      <c r="D197" s="25"/>
      <c r="E197" s="25" t="s">
        <v>111</v>
      </c>
      <c r="F197" s="25">
        <v>5</v>
      </c>
      <c r="G197" s="83">
        <v>2242900</v>
      </c>
      <c r="H197" s="83">
        <f t="shared" si="4"/>
        <v>11214500</v>
      </c>
      <c r="J197" s="306">
        <f>F203*G203</f>
        <v>0</v>
      </c>
    </row>
    <row r="198" spans="1:10" s="423" customFormat="1">
      <c r="A198" s="790"/>
      <c r="B198" s="791" t="s">
        <v>627</v>
      </c>
      <c r="C198" s="790"/>
      <c r="D198" s="790"/>
      <c r="E198" s="790" t="s">
        <v>111</v>
      </c>
      <c r="F198" s="790">
        <v>2</v>
      </c>
      <c r="G198" s="422">
        <v>26143560</v>
      </c>
      <c r="H198" s="422">
        <f t="shared" si="4"/>
        <v>52287120</v>
      </c>
      <c r="J198" s="424">
        <f>F204*G204</f>
        <v>1672000</v>
      </c>
    </row>
    <row r="199" spans="1:10" s="423" customFormat="1">
      <c r="A199" s="790"/>
      <c r="B199" s="791" t="s">
        <v>628</v>
      </c>
      <c r="C199" s="790"/>
      <c r="D199" s="790"/>
      <c r="E199" s="790" t="s">
        <v>111</v>
      </c>
      <c r="F199" s="790">
        <v>1</v>
      </c>
      <c r="G199" s="422">
        <v>4451760</v>
      </c>
      <c r="H199" s="422">
        <f t="shared" si="4"/>
        <v>4451760</v>
      </c>
      <c r="J199" s="424">
        <f>F205*G205</f>
        <v>0</v>
      </c>
    </row>
    <row r="200" spans="1:10" s="423" customFormat="1">
      <c r="A200" s="790"/>
      <c r="B200" s="792" t="s">
        <v>629</v>
      </c>
      <c r="C200" s="790"/>
      <c r="D200" s="790"/>
      <c r="E200" s="790" t="s">
        <v>111</v>
      </c>
      <c r="F200" s="790">
        <v>2</v>
      </c>
      <c r="G200" s="422">
        <v>13882320</v>
      </c>
      <c r="H200" s="422">
        <f t="shared" si="4"/>
        <v>27764640</v>
      </c>
      <c r="J200" s="424">
        <f>F206*G206</f>
        <v>8802000</v>
      </c>
    </row>
    <row r="201" spans="1:10">
      <c r="A201" s="25"/>
      <c r="B201" s="84" t="s">
        <v>630</v>
      </c>
      <c r="C201" s="25"/>
      <c r="D201" s="25"/>
      <c r="E201" s="25" t="s">
        <v>32</v>
      </c>
      <c r="F201" s="25">
        <v>2</v>
      </c>
      <c r="G201" s="83">
        <v>43569360</v>
      </c>
      <c r="H201" s="83">
        <f t="shared" si="4"/>
        <v>87138720</v>
      </c>
      <c r="J201" s="306">
        <f>F207*G207</f>
        <v>367145</v>
      </c>
    </row>
    <row r="202" spans="1:10">
      <c r="A202" s="25"/>
      <c r="B202" s="84" t="s">
        <v>1831</v>
      </c>
      <c r="C202" s="25" t="s">
        <v>1832</v>
      </c>
      <c r="D202" s="25" t="s">
        <v>1121</v>
      </c>
      <c r="E202" s="25" t="s">
        <v>10</v>
      </c>
      <c r="F202" s="25">
        <v>2</v>
      </c>
      <c r="G202" s="371">
        <f>58282000*1.08</f>
        <v>62944560.000000007</v>
      </c>
      <c r="H202" s="371">
        <f>F202*G202</f>
        <v>125889120.00000001</v>
      </c>
      <c r="J202" s="306">
        <f>F207*G207</f>
        <v>367145</v>
      </c>
    </row>
    <row r="203" spans="1:10">
      <c r="A203" s="25">
        <v>3</v>
      </c>
      <c r="B203" s="84" t="s">
        <v>631</v>
      </c>
      <c r="C203" s="25"/>
      <c r="D203" s="25"/>
      <c r="E203" s="25"/>
      <c r="F203" s="25"/>
      <c r="G203" s="83"/>
      <c r="H203" s="83">
        <f t="shared" si="4"/>
        <v>0</v>
      </c>
      <c r="J203" s="306">
        <f t="shared" ref="J203:J220" si="7">F208*G208</f>
        <v>309915</v>
      </c>
    </row>
    <row r="204" spans="1:10">
      <c r="A204" s="25"/>
      <c r="B204" s="786" t="s">
        <v>490</v>
      </c>
      <c r="C204" s="25"/>
      <c r="D204" s="25" t="s">
        <v>39</v>
      </c>
      <c r="E204" s="25" t="s">
        <v>63</v>
      </c>
      <c r="F204" s="25">
        <v>38</v>
      </c>
      <c r="G204" s="83">
        <v>44000</v>
      </c>
      <c r="H204" s="83">
        <f t="shared" si="4"/>
        <v>1672000</v>
      </c>
      <c r="J204" s="306">
        <f t="shared" si="7"/>
        <v>6000000</v>
      </c>
    </row>
    <row r="205" spans="1:10">
      <c r="A205" s="25">
        <v>4</v>
      </c>
      <c r="B205" s="786" t="s">
        <v>268</v>
      </c>
      <c r="C205" s="25"/>
      <c r="D205" s="25"/>
      <c r="E205" s="25" t="s">
        <v>142</v>
      </c>
      <c r="F205" s="25">
        <v>1</v>
      </c>
      <c r="G205" s="83"/>
      <c r="H205" s="83">
        <f t="shared" si="4"/>
        <v>0</v>
      </c>
      <c r="J205" s="306">
        <f t="shared" si="7"/>
        <v>6000000</v>
      </c>
    </row>
    <row r="206" spans="1:10" ht="31.5">
      <c r="A206" s="89"/>
      <c r="B206" s="79" t="s">
        <v>269</v>
      </c>
      <c r="C206" s="25"/>
      <c r="D206" s="25"/>
      <c r="E206" s="25" t="s">
        <v>142</v>
      </c>
      <c r="F206" s="25">
        <v>1</v>
      </c>
      <c r="G206" s="83">
        <v>8802000</v>
      </c>
      <c r="H206" s="83">
        <f t="shared" si="4"/>
        <v>8802000</v>
      </c>
      <c r="J206" s="306">
        <f t="shared" si="7"/>
        <v>125000</v>
      </c>
    </row>
    <row r="207" spans="1:10" s="307" customFormat="1">
      <c r="A207" s="25"/>
      <c r="B207" s="84" t="s">
        <v>270</v>
      </c>
      <c r="C207" s="25" t="s">
        <v>271</v>
      </c>
      <c r="D207" s="25" t="s">
        <v>39</v>
      </c>
      <c r="E207" s="25" t="s">
        <v>204</v>
      </c>
      <c r="F207" s="25">
        <v>7.57</v>
      </c>
      <c r="G207" s="83">
        <v>48500</v>
      </c>
      <c r="H207" s="83">
        <f t="shared" si="4"/>
        <v>367145</v>
      </c>
      <c r="J207" s="308">
        <f t="shared" si="7"/>
        <v>0</v>
      </c>
    </row>
    <row r="208" spans="1:10">
      <c r="A208" s="25"/>
      <c r="B208" s="84" t="s">
        <v>270</v>
      </c>
      <c r="C208" s="25" t="s">
        <v>210</v>
      </c>
      <c r="D208" s="25" t="s">
        <v>39</v>
      </c>
      <c r="E208" s="25" t="s">
        <v>204</v>
      </c>
      <c r="F208" s="25">
        <v>6.39</v>
      </c>
      <c r="G208" s="83">
        <v>48500</v>
      </c>
      <c r="H208" s="83">
        <f t="shared" ref="H208:H236" si="8">F208*G208</f>
        <v>309915</v>
      </c>
      <c r="J208" s="306">
        <f t="shared" si="7"/>
        <v>1386000.0000000002</v>
      </c>
    </row>
    <row r="209" spans="1:10">
      <c r="A209" s="25"/>
      <c r="B209" s="84" t="s">
        <v>272</v>
      </c>
      <c r="C209" s="25"/>
      <c r="D209" s="25"/>
      <c r="E209" s="25" t="s">
        <v>111</v>
      </c>
      <c r="F209" s="25">
        <v>4</v>
      </c>
      <c r="G209" s="83">
        <v>1500000</v>
      </c>
      <c r="H209" s="83">
        <f t="shared" si="8"/>
        <v>6000000</v>
      </c>
      <c r="J209" s="306">
        <f t="shared" si="7"/>
        <v>3344000.0000000005</v>
      </c>
    </row>
    <row r="210" spans="1:10">
      <c r="A210" s="29"/>
      <c r="B210" s="79" t="s">
        <v>273</v>
      </c>
      <c r="C210" s="25"/>
      <c r="D210" s="25"/>
      <c r="E210" s="797" t="s">
        <v>111</v>
      </c>
      <c r="F210" s="25">
        <v>4</v>
      </c>
      <c r="G210" s="83">
        <v>1500000</v>
      </c>
      <c r="H210" s="83">
        <f t="shared" si="8"/>
        <v>6000000</v>
      </c>
      <c r="J210" s="306">
        <f t="shared" si="7"/>
        <v>149600</v>
      </c>
    </row>
    <row r="211" spans="1:10">
      <c r="A211" s="29"/>
      <c r="B211" s="79" t="s">
        <v>274</v>
      </c>
      <c r="C211" s="25"/>
      <c r="D211" s="25"/>
      <c r="E211" s="797" t="s">
        <v>111</v>
      </c>
      <c r="F211" s="25">
        <v>1</v>
      </c>
      <c r="G211" s="83">
        <v>125000</v>
      </c>
      <c r="H211" s="83">
        <f t="shared" si="8"/>
        <v>125000</v>
      </c>
      <c r="J211" s="306">
        <f t="shared" si="7"/>
        <v>79200</v>
      </c>
    </row>
    <row r="212" spans="1:10" s="307" customFormat="1">
      <c r="A212" s="29" t="s">
        <v>153</v>
      </c>
      <c r="B212" s="79" t="s">
        <v>154</v>
      </c>
      <c r="C212" s="29"/>
      <c r="D212" s="29"/>
      <c r="E212" s="29"/>
      <c r="F212" s="29"/>
      <c r="G212" s="82"/>
      <c r="H212" s="83">
        <f t="shared" si="8"/>
        <v>0</v>
      </c>
      <c r="J212" s="308">
        <f t="shared" si="7"/>
        <v>0</v>
      </c>
    </row>
    <row r="213" spans="1:10">
      <c r="A213" s="25"/>
      <c r="B213" s="26" t="s">
        <v>632</v>
      </c>
      <c r="C213" s="85" t="s">
        <v>1651</v>
      </c>
      <c r="D213" s="25" t="s">
        <v>39</v>
      </c>
      <c r="E213" s="85" t="s">
        <v>63</v>
      </c>
      <c r="F213" s="25">
        <v>7</v>
      </c>
      <c r="G213" s="83">
        <v>198000.00000000003</v>
      </c>
      <c r="H213" s="83">
        <f t="shared" si="8"/>
        <v>1386000.0000000002</v>
      </c>
      <c r="J213" s="306">
        <f t="shared" si="7"/>
        <v>6122600.0000000009</v>
      </c>
    </row>
    <row r="214" spans="1:10">
      <c r="A214" s="25"/>
      <c r="B214" s="26" t="s">
        <v>632</v>
      </c>
      <c r="C214" s="85" t="s">
        <v>1652</v>
      </c>
      <c r="D214" s="25" t="s">
        <v>39</v>
      </c>
      <c r="E214" s="85" t="s">
        <v>63</v>
      </c>
      <c r="F214" s="25">
        <v>8</v>
      </c>
      <c r="G214" s="83">
        <v>418000.00000000006</v>
      </c>
      <c r="H214" s="83">
        <f t="shared" si="8"/>
        <v>3344000.0000000005</v>
      </c>
      <c r="J214" s="306">
        <f t="shared" si="7"/>
        <v>7903500.0000000009</v>
      </c>
    </row>
    <row r="215" spans="1:10" ht="31.5">
      <c r="A215" s="25"/>
      <c r="B215" s="26" t="s">
        <v>633</v>
      </c>
      <c r="C215" s="85"/>
      <c r="D215" s="25" t="s">
        <v>39</v>
      </c>
      <c r="E215" s="85" t="s">
        <v>146</v>
      </c>
      <c r="F215" s="25">
        <v>16</v>
      </c>
      <c r="G215" s="83">
        <v>9350</v>
      </c>
      <c r="H215" s="83">
        <f t="shared" si="8"/>
        <v>149600</v>
      </c>
      <c r="J215" s="306">
        <f t="shared" si="7"/>
        <v>2500000</v>
      </c>
    </row>
    <row r="216" spans="1:10" s="307" customFormat="1">
      <c r="A216" s="25"/>
      <c r="B216" s="26" t="s">
        <v>634</v>
      </c>
      <c r="C216" s="85" t="s">
        <v>635</v>
      </c>
      <c r="D216" s="25" t="s">
        <v>39</v>
      </c>
      <c r="E216" s="85" t="s">
        <v>111</v>
      </c>
      <c r="F216" s="25">
        <v>24</v>
      </c>
      <c r="G216" s="83">
        <v>3300</v>
      </c>
      <c r="H216" s="83">
        <f t="shared" si="8"/>
        <v>79200</v>
      </c>
      <c r="J216" s="308">
        <f t="shared" si="7"/>
        <v>0</v>
      </c>
    </row>
    <row r="217" spans="1:10">
      <c r="A217" s="29" t="s">
        <v>297</v>
      </c>
      <c r="B217" s="802" t="s">
        <v>298</v>
      </c>
      <c r="C217" s="794"/>
      <c r="D217" s="29"/>
      <c r="E217" s="794"/>
      <c r="F217" s="29"/>
      <c r="G217" s="82"/>
      <c r="H217" s="83">
        <f t="shared" si="8"/>
        <v>0</v>
      </c>
      <c r="J217" s="306">
        <f t="shared" si="7"/>
        <v>0</v>
      </c>
    </row>
    <row r="218" spans="1:10">
      <c r="A218" s="25"/>
      <c r="B218" s="87" t="s">
        <v>636</v>
      </c>
      <c r="C218" s="85"/>
      <c r="D218" s="25"/>
      <c r="E218" s="85" t="s">
        <v>357</v>
      </c>
      <c r="F218" s="25">
        <v>1</v>
      </c>
      <c r="G218" s="83">
        <v>6122600.0000000009</v>
      </c>
      <c r="H218" s="83">
        <f t="shared" si="8"/>
        <v>6122600.0000000009</v>
      </c>
      <c r="J218" s="306">
        <f t="shared" si="7"/>
        <v>9331200</v>
      </c>
    </row>
    <row r="219" spans="1:10" ht="31.5">
      <c r="A219" s="25"/>
      <c r="B219" s="26" t="s">
        <v>637</v>
      </c>
      <c r="C219" s="85"/>
      <c r="D219" s="25" t="s">
        <v>39</v>
      </c>
      <c r="E219" s="85" t="s">
        <v>146</v>
      </c>
      <c r="F219" s="25">
        <v>1</v>
      </c>
      <c r="G219" s="83">
        <v>7903500.0000000009</v>
      </c>
      <c r="H219" s="83">
        <f t="shared" si="8"/>
        <v>7903500.0000000009</v>
      </c>
      <c r="J219" s="306">
        <f t="shared" si="7"/>
        <v>536000</v>
      </c>
    </row>
    <row r="220" spans="1:10">
      <c r="A220" s="25"/>
      <c r="B220" s="84" t="s">
        <v>638</v>
      </c>
      <c r="C220" s="25"/>
      <c r="D220" s="25"/>
      <c r="E220" s="25" t="s">
        <v>111</v>
      </c>
      <c r="F220" s="25">
        <v>1</v>
      </c>
      <c r="G220" s="83">
        <v>2500000</v>
      </c>
      <c r="H220" s="83">
        <f t="shared" si="8"/>
        <v>2500000</v>
      </c>
      <c r="J220" s="306">
        <f t="shared" si="7"/>
        <v>1250000</v>
      </c>
    </row>
    <row r="221" spans="1:10">
      <c r="A221" s="29" t="s">
        <v>639</v>
      </c>
      <c r="B221" s="802" t="s">
        <v>522</v>
      </c>
      <c r="C221" s="794"/>
      <c r="D221" s="794"/>
      <c r="E221" s="794"/>
      <c r="F221" s="29"/>
      <c r="G221" s="82"/>
      <c r="H221" s="83">
        <f t="shared" si="8"/>
        <v>0</v>
      </c>
      <c r="J221" s="306">
        <f>F226*G226</f>
        <v>7150.0000000000009</v>
      </c>
    </row>
    <row r="222" spans="1:10">
      <c r="A222" s="25"/>
      <c r="B222" s="87" t="s">
        <v>640</v>
      </c>
      <c r="C222" s="85"/>
      <c r="D222" s="25"/>
      <c r="E222" s="85"/>
      <c r="F222" s="25"/>
      <c r="G222" s="83"/>
      <c r="H222" s="83">
        <f t="shared" si="8"/>
        <v>0</v>
      </c>
      <c r="J222" s="306">
        <f t="shared" ref="J222:J231" si="9">F227*G227</f>
        <v>33000</v>
      </c>
    </row>
    <row r="223" spans="1:10" ht="31.5">
      <c r="A223" s="25"/>
      <c r="B223" s="87" t="s">
        <v>641</v>
      </c>
      <c r="C223" s="85" t="s">
        <v>642</v>
      </c>
      <c r="D223" s="25" t="s">
        <v>39</v>
      </c>
      <c r="E223" s="85" t="s">
        <v>111</v>
      </c>
      <c r="F223" s="25">
        <v>1</v>
      </c>
      <c r="G223" s="83">
        <v>9331200</v>
      </c>
      <c r="H223" s="83">
        <f t="shared" si="8"/>
        <v>9331200</v>
      </c>
      <c r="J223" s="306">
        <f t="shared" si="9"/>
        <v>328000</v>
      </c>
    </row>
    <row r="224" spans="1:10" ht="31.5">
      <c r="A224" s="25"/>
      <c r="B224" s="87" t="s">
        <v>643</v>
      </c>
      <c r="C224" s="85"/>
      <c r="D224" s="25" t="s">
        <v>39</v>
      </c>
      <c r="E224" s="85" t="s">
        <v>146</v>
      </c>
      <c r="F224" s="25">
        <v>16</v>
      </c>
      <c r="G224" s="83">
        <v>33500</v>
      </c>
      <c r="H224" s="83">
        <f t="shared" si="8"/>
        <v>536000</v>
      </c>
      <c r="J224" s="306">
        <f t="shared" si="9"/>
        <v>140800</v>
      </c>
    </row>
    <row r="225" spans="1:10" ht="31.5">
      <c r="A225" s="25"/>
      <c r="B225" s="87" t="s">
        <v>644</v>
      </c>
      <c r="C225" s="85"/>
      <c r="D225" s="25" t="s">
        <v>39</v>
      </c>
      <c r="E225" s="85" t="s">
        <v>111</v>
      </c>
      <c r="F225" s="25">
        <v>5</v>
      </c>
      <c r="G225" s="83">
        <v>250000</v>
      </c>
      <c r="H225" s="83">
        <f t="shared" si="8"/>
        <v>1250000</v>
      </c>
      <c r="J225" s="306">
        <f t="shared" si="9"/>
        <v>456000</v>
      </c>
    </row>
    <row r="226" spans="1:10">
      <c r="A226" s="25"/>
      <c r="B226" s="87" t="s">
        <v>645</v>
      </c>
      <c r="C226" s="85"/>
      <c r="D226" s="25" t="s">
        <v>39</v>
      </c>
      <c r="E226" s="85" t="s">
        <v>111</v>
      </c>
      <c r="F226" s="25">
        <v>1</v>
      </c>
      <c r="G226" s="83">
        <v>7150.0000000000009</v>
      </c>
      <c r="H226" s="83">
        <f t="shared" si="8"/>
        <v>7150.0000000000009</v>
      </c>
      <c r="J226" s="306">
        <f t="shared" si="9"/>
        <v>43200</v>
      </c>
    </row>
    <row r="227" spans="1:10">
      <c r="A227" s="25"/>
      <c r="B227" s="87" t="s">
        <v>646</v>
      </c>
      <c r="C227" s="85"/>
      <c r="D227" s="25" t="s">
        <v>39</v>
      </c>
      <c r="E227" s="85" t="s">
        <v>111</v>
      </c>
      <c r="F227" s="25">
        <v>2</v>
      </c>
      <c r="G227" s="83">
        <v>16500</v>
      </c>
      <c r="H227" s="83">
        <f t="shared" si="8"/>
        <v>33000</v>
      </c>
      <c r="J227" s="306">
        <f t="shared" si="9"/>
        <v>220000</v>
      </c>
    </row>
    <row r="228" spans="1:10" ht="31.5">
      <c r="A228" s="25"/>
      <c r="B228" s="87" t="s">
        <v>647</v>
      </c>
      <c r="C228" s="85"/>
      <c r="D228" s="25" t="s">
        <v>39</v>
      </c>
      <c r="E228" s="85" t="s">
        <v>146</v>
      </c>
      <c r="F228" s="25">
        <v>16</v>
      </c>
      <c r="G228" s="83">
        <v>20500</v>
      </c>
      <c r="H228" s="83">
        <f t="shared" si="8"/>
        <v>328000</v>
      </c>
      <c r="J228" s="306">
        <f t="shared" si="9"/>
        <v>935000.00000000012</v>
      </c>
    </row>
    <row r="229" spans="1:10" ht="31.5">
      <c r="A229" s="25"/>
      <c r="B229" s="87" t="s">
        <v>648</v>
      </c>
      <c r="C229" s="85"/>
      <c r="D229" s="25" t="s">
        <v>39</v>
      </c>
      <c r="E229" s="85" t="s">
        <v>146</v>
      </c>
      <c r="F229" s="25">
        <v>16</v>
      </c>
      <c r="G229" s="83">
        <v>8800</v>
      </c>
      <c r="H229" s="83">
        <f t="shared" si="8"/>
        <v>140800</v>
      </c>
      <c r="J229" s="306">
        <f t="shared" si="9"/>
        <v>404800.00000000006</v>
      </c>
    </row>
    <row r="230" spans="1:10" ht="31.5">
      <c r="A230" s="25"/>
      <c r="B230" s="87" t="s">
        <v>649</v>
      </c>
      <c r="C230" s="85"/>
      <c r="D230" s="25" t="s">
        <v>39</v>
      </c>
      <c r="E230" s="85" t="s">
        <v>146</v>
      </c>
      <c r="F230" s="25">
        <v>16</v>
      </c>
      <c r="G230" s="83">
        <v>28500</v>
      </c>
      <c r="H230" s="83">
        <f t="shared" si="8"/>
        <v>456000</v>
      </c>
      <c r="J230" s="306">
        <f t="shared" si="9"/>
        <v>427800</v>
      </c>
    </row>
    <row r="231" spans="1:10">
      <c r="A231" s="25"/>
      <c r="B231" s="87" t="s">
        <v>650</v>
      </c>
      <c r="C231" s="85" t="s">
        <v>651</v>
      </c>
      <c r="D231" s="25" t="s">
        <v>39</v>
      </c>
      <c r="E231" s="85" t="s">
        <v>63</v>
      </c>
      <c r="F231" s="25">
        <v>2</v>
      </c>
      <c r="G231" s="83">
        <v>21600</v>
      </c>
      <c r="H231" s="83">
        <f t="shared" si="8"/>
        <v>43200</v>
      </c>
      <c r="J231" s="306">
        <f t="shared" si="9"/>
        <v>290400</v>
      </c>
    </row>
    <row r="232" spans="1:10">
      <c r="A232" s="25"/>
      <c r="B232" s="87" t="s">
        <v>652</v>
      </c>
      <c r="C232" s="85"/>
      <c r="D232" s="25"/>
      <c r="E232" s="85" t="s">
        <v>111</v>
      </c>
      <c r="F232" s="25">
        <v>4</v>
      </c>
      <c r="G232" s="83">
        <v>55000</v>
      </c>
      <c r="H232" s="83">
        <f t="shared" si="8"/>
        <v>220000</v>
      </c>
    </row>
    <row r="233" spans="1:10" ht="31.5">
      <c r="A233" s="25"/>
      <c r="B233" s="87" t="s">
        <v>653</v>
      </c>
      <c r="C233" s="85"/>
      <c r="D233" s="25" t="s">
        <v>39</v>
      </c>
      <c r="E233" s="85" t="s">
        <v>146</v>
      </c>
      <c r="F233" s="25">
        <v>68</v>
      </c>
      <c r="G233" s="83">
        <v>13750.000000000002</v>
      </c>
      <c r="H233" s="83">
        <f t="shared" si="8"/>
        <v>935000.00000000012</v>
      </c>
    </row>
    <row r="234" spans="1:10" ht="31.5">
      <c r="A234" s="25"/>
      <c r="B234" s="87" t="s">
        <v>654</v>
      </c>
      <c r="C234" s="85"/>
      <c r="D234" s="25" t="s">
        <v>39</v>
      </c>
      <c r="E234" s="85" t="s">
        <v>146</v>
      </c>
      <c r="F234" s="25">
        <v>32</v>
      </c>
      <c r="G234" s="83">
        <v>12650.000000000002</v>
      </c>
      <c r="H234" s="83">
        <f t="shared" si="8"/>
        <v>404800.00000000006</v>
      </c>
    </row>
    <row r="235" spans="1:10">
      <c r="A235" s="25"/>
      <c r="B235" s="87" t="s">
        <v>655</v>
      </c>
      <c r="C235" s="85" t="s">
        <v>656</v>
      </c>
      <c r="D235" s="25" t="s">
        <v>39</v>
      </c>
      <c r="E235" s="85" t="s">
        <v>204</v>
      </c>
      <c r="F235" s="25">
        <v>3.72</v>
      </c>
      <c r="G235" s="83">
        <v>115000</v>
      </c>
      <c r="H235" s="83">
        <f t="shared" si="8"/>
        <v>427800</v>
      </c>
    </row>
    <row r="236" spans="1:10" ht="31.5">
      <c r="A236" s="803"/>
      <c r="B236" s="804" t="s">
        <v>657</v>
      </c>
      <c r="C236" s="805"/>
      <c r="D236" s="803" t="s">
        <v>39</v>
      </c>
      <c r="E236" s="805" t="s">
        <v>146</v>
      </c>
      <c r="F236" s="803">
        <v>16</v>
      </c>
      <c r="G236" s="91">
        <v>18150</v>
      </c>
      <c r="H236" s="83">
        <f t="shared" si="8"/>
        <v>290400</v>
      </c>
    </row>
  </sheetData>
  <mergeCells count="6">
    <mergeCell ref="A7:F7"/>
    <mergeCell ref="A1:B1"/>
    <mergeCell ref="A2:B2"/>
    <mergeCell ref="A4:F4"/>
    <mergeCell ref="A5:F5"/>
    <mergeCell ref="A6:F6"/>
  </mergeCells>
  <pageMargins left="0.7" right="0.41" top="0.49" bottom="0.44"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3"/>
  <sheetViews>
    <sheetView workbookViewId="0">
      <selection activeCell="B340" sqref="B340"/>
    </sheetView>
  </sheetViews>
  <sheetFormatPr defaultColWidth="8.7109375" defaultRowHeight="15"/>
  <cols>
    <col min="1" max="1" width="5.42578125" style="340" customWidth="1"/>
    <col min="2" max="2" width="48.42578125" style="340" customWidth="1"/>
    <col min="3" max="3" width="18.28515625" style="340" customWidth="1"/>
    <col min="4" max="4" width="11.140625" style="340" customWidth="1"/>
    <col min="5" max="5" width="8.5703125" style="340" customWidth="1"/>
    <col min="6" max="6" width="6.85546875" style="340" customWidth="1"/>
    <col min="7" max="7" width="13.7109375" style="340" hidden="1" customWidth="1"/>
    <col min="8" max="8" width="9.85546875" style="340" hidden="1" customWidth="1"/>
    <col min="9" max="9" width="30.85546875" style="340" hidden="1" customWidth="1"/>
    <col min="10" max="16384" width="8.7109375" style="340"/>
  </cols>
  <sheetData>
    <row r="1" spans="1:9" ht="15.75">
      <c r="A1" s="848" t="s">
        <v>83</v>
      </c>
      <c r="B1" s="848"/>
      <c r="C1" s="341"/>
      <c r="D1" s="341"/>
      <c r="E1" s="341"/>
    </row>
    <row r="2" spans="1:9" ht="13.5" customHeight="1">
      <c r="A2" s="849" t="s">
        <v>0</v>
      </c>
      <c r="B2" s="849"/>
      <c r="C2" s="341"/>
      <c r="D2" s="341"/>
      <c r="E2" s="341"/>
    </row>
    <row r="3" spans="1:9" ht="15.75">
      <c r="A3" s="341"/>
      <c r="B3" s="341"/>
      <c r="C3" s="341"/>
      <c r="D3" s="341"/>
      <c r="E3" s="341"/>
    </row>
    <row r="4" spans="1:9" ht="18.75">
      <c r="A4" s="850" t="s">
        <v>455</v>
      </c>
      <c r="B4" s="850"/>
      <c r="C4" s="850"/>
      <c r="D4" s="850"/>
      <c r="E4" s="850"/>
      <c r="F4" s="850"/>
    </row>
    <row r="5" spans="1:9" ht="18.75">
      <c r="A5" s="850" t="s">
        <v>84</v>
      </c>
      <c r="B5" s="850"/>
      <c r="C5" s="850"/>
      <c r="D5" s="850"/>
      <c r="E5" s="850"/>
      <c r="F5" s="850"/>
    </row>
    <row r="6" spans="1:9" ht="18.75">
      <c r="A6" s="850" t="s">
        <v>454</v>
      </c>
      <c r="B6" s="850"/>
      <c r="C6" s="850"/>
      <c r="D6" s="850"/>
      <c r="E6" s="850"/>
      <c r="F6" s="850"/>
    </row>
    <row r="7" spans="1:9" ht="16.5">
      <c r="A7" s="844" t="s">
        <v>1926</v>
      </c>
      <c r="B7" s="844"/>
      <c r="C7" s="844"/>
      <c r="D7" s="844"/>
      <c r="E7" s="844"/>
      <c r="F7" s="844"/>
    </row>
    <row r="9" spans="1:9" ht="34.15" customHeight="1">
      <c r="A9" s="581" t="s">
        <v>1</v>
      </c>
      <c r="B9" s="581" t="s">
        <v>2</v>
      </c>
      <c r="C9" s="581" t="s">
        <v>3</v>
      </c>
      <c r="D9" s="581" t="s">
        <v>4</v>
      </c>
      <c r="E9" s="581" t="s">
        <v>88</v>
      </c>
      <c r="F9" s="581" t="s">
        <v>5</v>
      </c>
      <c r="G9" s="582"/>
      <c r="H9" s="582"/>
    </row>
    <row r="10" spans="1:9" ht="15.75">
      <c r="A10" s="539" t="s">
        <v>6</v>
      </c>
      <c r="B10" s="540" t="s">
        <v>1834</v>
      </c>
      <c r="C10" s="539"/>
      <c r="D10" s="539"/>
      <c r="E10" s="539" t="s">
        <v>303</v>
      </c>
      <c r="F10" s="539">
        <v>1</v>
      </c>
      <c r="G10" s="539"/>
      <c r="H10" s="541"/>
      <c r="I10" s="583"/>
    </row>
    <row r="11" spans="1:9" ht="31.5">
      <c r="A11" s="542" t="s">
        <v>89</v>
      </c>
      <c r="B11" s="543" t="s">
        <v>658</v>
      </c>
      <c r="C11" s="544"/>
      <c r="D11" s="544"/>
      <c r="E11" s="544"/>
      <c r="F11" s="545"/>
      <c r="G11" s="546"/>
      <c r="H11" s="546"/>
      <c r="I11" s="584"/>
    </row>
    <row r="12" spans="1:9" ht="15.75">
      <c r="A12" s="545">
        <v>1</v>
      </c>
      <c r="B12" s="547" t="s">
        <v>659</v>
      </c>
      <c r="C12" s="548"/>
      <c r="D12" s="548"/>
      <c r="E12" s="548"/>
      <c r="F12" s="545"/>
      <c r="G12" s="546"/>
      <c r="H12" s="546"/>
      <c r="I12" s="584"/>
    </row>
    <row r="13" spans="1:9" ht="15.75">
      <c r="A13" s="545"/>
      <c r="B13" s="549" t="s">
        <v>660</v>
      </c>
      <c r="C13" s="548"/>
      <c r="D13" s="548"/>
      <c r="E13" s="548"/>
      <c r="F13" s="545"/>
      <c r="G13" s="546"/>
      <c r="H13" s="546"/>
      <c r="I13" s="584"/>
    </row>
    <row r="14" spans="1:9" ht="78.75">
      <c r="A14" s="545"/>
      <c r="B14" s="549" t="s">
        <v>661</v>
      </c>
      <c r="C14" s="548"/>
      <c r="D14" s="548"/>
      <c r="E14" s="548">
        <f>3.3*2+33+10</f>
        <v>49.6</v>
      </c>
      <c r="F14" s="545" t="s">
        <v>174</v>
      </c>
      <c r="G14" s="546">
        <f>ROUND(1.8*1.5*330000*1.22,-3)</f>
        <v>1087000</v>
      </c>
      <c r="H14" s="546">
        <f t="shared" ref="H14:H76" si="0">G14*E14</f>
        <v>53915200</v>
      </c>
      <c r="I14" s="584" t="s">
        <v>1875</v>
      </c>
    </row>
    <row r="15" spans="1:9" ht="31.5">
      <c r="A15" s="545"/>
      <c r="B15" s="549" t="s">
        <v>662</v>
      </c>
      <c r="C15" s="548"/>
      <c r="D15" s="548"/>
      <c r="E15" s="548">
        <v>4</v>
      </c>
      <c r="F15" s="545" t="s">
        <v>663</v>
      </c>
      <c r="G15" s="546">
        <f>1100000*1.08</f>
        <v>1188000</v>
      </c>
      <c r="H15" s="546">
        <f t="shared" si="0"/>
        <v>4752000</v>
      </c>
      <c r="I15" s="584" t="s">
        <v>1876</v>
      </c>
    </row>
    <row r="16" spans="1:9" ht="34.5">
      <c r="A16" s="545"/>
      <c r="B16" s="549" t="s">
        <v>956</v>
      </c>
      <c r="C16" s="548"/>
      <c r="D16" s="548"/>
      <c r="E16" s="548"/>
      <c r="F16" s="545"/>
      <c r="G16" s="546"/>
      <c r="H16" s="546">
        <f t="shared" si="0"/>
        <v>0</v>
      </c>
      <c r="I16" s="584"/>
    </row>
    <row r="17" spans="1:9" ht="31.5">
      <c r="A17" s="545"/>
      <c r="B17" s="549" t="s">
        <v>664</v>
      </c>
      <c r="C17" s="548"/>
      <c r="D17" s="548"/>
      <c r="E17" s="548"/>
      <c r="F17" s="545"/>
      <c r="G17" s="546"/>
      <c r="H17" s="546">
        <f t="shared" si="0"/>
        <v>0</v>
      </c>
      <c r="I17" s="584"/>
    </row>
    <row r="18" spans="1:9" ht="31.5">
      <c r="A18" s="545"/>
      <c r="B18" s="549" t="s">
        <v>665</v>
      </c>
      <c r="C18" s="548"/>
      <c r="D18" s="548"/>
      <c r="E18" s="548"/>
      <c r="F18" s="545"/>
      <c r="G18" s="546"/>
      <c r="H18" s="546">
        <f t="shared" si="0"/>
        <v>0</v>
      </c>
      <c r="I18" s="584"/>
    </row>
    <row r="19" spans="1:9" ht="63">
      <c r="A19" s="545">
        <v>2</v>
      </c>
      <c r="B19" s="549" t="s">
        <v>666</v>
      </c>
      <c r="C19" s="548"/>
      <c r="D19" s="548"/>
      <c r="E19" s="548">
        <v>4</v>
      </c>
      <c r="F19" s="545" t="s">
        <v>106</v>
      </c>
      <c r="G19" s="546">
        <v>416666.66666666669</v>
      </c>
      <c r="H19" s="546">
        <f t="shared" si="0"/>
        <v>1666666.6666666667</v>
      </c>
      <c r="I19" s="584" t="s">
        <v>1877</v>
      </c>
    </row>
    <row r="20" spans="1:9" ht="31.5">
      <c r="A20" s="545"/>
      <c r="B20" s="549" t="s">
        <v>667</v>
      </c>
      <c r="C20" s="548"/>
      <c r="D20" s="548"/>
      <c r="E20" s="548">
        <v>1</v>
      </c>
      <c r="F20" s="545" t="s">
        <v>357</v>
      </c>
      <c r="G20" s="546">
        <f>ROUND(1.5*330000*1.22,-3)</f>
        <v>604000</v>
      </c>
      <c r="H20" s="546">
        <f t="shared" si="0"/>
        <v>604000</v>
      </c>
      <c r="I20" s="584" t="s">
        <v>1803</v>
      </c>
    </row>
    <row r="21" spans="1:9" ht="15.75">
      <c r="A21" s="545">
        <v>3</v>
      </c>
      <c r="B21" s="549" t="s">
        <v>668</v>
      </c>
      <c r="C21" s="548"/>
      <c r="D21" s="548"/>
      <c r="E21" s="548">
        <v>3</v>
      </c>
      <c r="F21" s="545" t="s">
        <v>106</v>
      </c>
      <c r="G21" s="546">
        <v>416666.66666666669</v>
      </c>
      <c r="H21" s="546">
        <f t="shared" si="0"/>
        <v>1250000</v>
      </c>
      <c r="I21" s="584" t="s">
        <v>1877</v>
      </c>
    </row>
    <row r="22" spans="1:9" ht="15.75">
      <c r="A22" s="545"/>
      <c r="B22" s="549" t="s">
        <v>669</v>
      </c>
      <c r="C22" s="548"/>
      <c r="D22" s="548"/>
      <c r="E22" s="548"/>
      <c r="F22" s="545"/>
      <c r="G22" s="546"/>
      <c r="H22" s="546">
        <f t="shared" si="0"/>
        <v>0</v>
      </c>
      <c r="I22" s="584"/>
    </row>
    <row r="23" spans="1:9" ht="15.75">
      <c r="A23" s="545"/>
      <c r="B23" s="549" t="s">
        <v>670</v>
      </c>
      <c r="C23" s="548"/>
      <c r="D23" s="548"/>
      <c r="E23" s="548"/>
      <c r="F23" s="545"/>
      <c r="G23" s="546"/>
      <c r="H23" s="546">
        <f t="shared" si="0"/>
        <v>0</v>
      </c>
      <c r="I23" s="584"/>
    </row>
    <row r="24" spans="1:9" ht="63">
      <c r="A24" s="545">
        <v>4</v>
      </c>
      <c r="B24" s="549" t="s">
        <v>671</v>
      </c>
      <c r="C24" s="548"/>
      <c r="D24" s="548"/>
      <c r="E24" s="548">
        <v>18</v>
      </c>
      <c r="F24" s="545" t="s">
        <v>106</v>
      </c>
      <c r="G24" s="546">
        <v>416666.66666666669</v>
      </c>
      <c r="H24" s="546">
        <f t="shared" si="0"/>
        <v>7500000</v>
      </c>
      <c r="I24" s="584" t="s">
        <v>1877</v>
      </c>
    </row>
    <row r="25" spans="1:9" ht="15.75">
      <c r="A25" s="545">
        <v>5</v>
      </c>
      <c r="B25" s="550" t="s">
        <v>672</v>
      </c>
      <c r="C25" s="545"/>
      <c r="D25" s="545"/>
      <c r="E25" s="545"/>
      <c r="F25" s="545"/>
      <c r="G25" s="546"/>
      <c r="H25" s="546">
        <f t="shared" si="0"/>
        <v>0</v>
      </c>
      <c r="I25" s="584"/>
    </row>
    <row r="26" spans="1:9" ht="15.75">
      <c r="A26" s="545"/>
      <c r="B26" s="551" t="s">
        <v>673</v>
      </c>
      <c r="C26" s="545"/>
      <c r="D26" s="545"/>
      <c r="E26" s="545"/>
      <c r="F26" s="545"/>
      <c r="G26" s="546"/>
      <c r="H26" s="546">
        <f t="shared" si="0"/>
        <v>0</v>
      </c>
      <c r="I26" s="584"/>
    </row>
    <row r="27" spans="1:9" ht="31.5">
      <c r="A27" s="545"/>
      <c r="B27" s="551" t="s">
        <v>674</v>
      </c>
      <c r="C27" s="545"/>
      <c r="D27" s="545"/>
      <c r="E27" s="548">
        <v>2</v>
      </c>
      <c r="F27" s="545" t="s">
        <v>63</v>
      </c>
      <c r="G27" s="546">
        <v>888888.88888888888</v>
      </c>
      <c r="H27" s="546">
        <f t="shared" si="0"/>
        <v>1777777.7777777778</v>
      </c>
      <c r="I27" s="584" t="s">
        <v>1877</v>
      </c>
    </row>
    <row r="28" spans="1:9" ht="78.75">
      <c r="A28" s="545"/>
      <c r="B28" s="551" t="s">
        <v>675</v>
      </c>
      <c r="C28" s="545"/>
      <c r="D28" s="545"/>
      <c r="E28" s="548">
        <f>3+0.6*2</f>
        <v>4.2</v>
      </c>
      <c r="F28" s="545" t="s">
        <v>63</v>
      </c>
      <c r="G28" s="546">
        <v>888888.88888888888</v>
      </c>
      <c r="H28" s="546">
        <f t="shared" si="0"/>
        <v>3733333.3333333335</v>
      </c>
      <c r="I28" s="584" t="s">
        <v>1877</v>
      </c>
    </row>
    <row r="29" spans="1:9" ht="63">
      <c r="A29" s="545"/>
      <c r="B29" s="551" t="s">
        <v>676</v>
      </c>
      <c r="C29" s="545"/>
      <c r="D29" s="545"/>
      <c r="E29" s="548">
        <v>1.5</v>
      </c>
      <c r="F29" s="545" t="s">
        <v>63</v>
      </c>
      <c r="G29" s="546">
        <v>888888.88888888888</v>
      </c>
      <c r="H29" s="546">
        <f t="shared" si="0"/>
        <v>1333333.3333333333</v>
      </c>
      <c r="I29" s="584" t="s">
        <v>1877</v>
      </c>
    </row>
    <row r="30" spans="1:9" ht="31.5">
      <c r="A30" s="545"/>
      <c r="B30" s="551" t="s">
        <v>677</v>
      </c>
      <c r="C30" s="545"/>
      <c r="D30" s="545"/>
      <c r="E30" s="548">
        <v>1.4</v>
      </c>
      <c r="F30" s="545" t="s">
        <v>63</v>
      </c>
      <c r="G30" s="546">
        <v>888888.88888888888</v>
      </c>
      <c r="H30" s="546">
        <f t="shared" si="0"/>
        <v>1244444.4444444443</v>
      </c>
      <c r="I30" s="584" t="s">
        <v>1877</v>
      </c>
    </row>
    <row r="31" spans="1:9" ht="63">
      <c r="A31" s="545"/>
      <c r="B31" s="551" t="s">
        <v>678</v>
      </c>
      <c r="C31" s="545"/>
      <c r="D31" s="545"/>
      <c r="E31" s="548">
        <v>1</v>
      </c>
      <c r="F31" s="545" t="s">
        <v>63</v>
      </c>
      <c r="G31" s="546">
        <v>888888.88888888888</v>
      </c>
      <c r="H31" s="546">
        <f t="shared" si="0"/>
        <v>888888.88888888888</v>
      </c>
      <c r="I31" s="584" t="s">
        <v>1877</v>
      </c>
    </row>
    <row r="32" spans="1:9" ht="15.75">
      <c r="A32" s="545">
        <v>6</v>
      </c>
      <c r="B32" s="550" t="s">
        <v>679</v>
      </c>
      <c r="C32" s="545"/>
      <c r="D32" s="545"/>
      <c r="E32" s="545"/>
      <c r="F32" s="545"/>
      <c r="G32" s="546"/>
      <c r="H32" s="546">
        <f t="shared" si="0"/>
        <v>0</v>
      </c>
      <c r="I32" s="584"/>
    </row>
    <row r="33" spans="1:9" ht="63">
      <c r="A33" s="545"/>
      <c r="B33" s="549" t="s">
        <v>680</v>
      </c>
      <c r="C33" s="545"/>
      <c r="D33" s="545"/>
      <c r="E33" s="545"/>
      <c r="F33" s="545"/>
      <c r="G33" s="546"/>
      <c r="H33" s="546">
        <f t="shared" si="0"/>
        <v>0</v>
      </c>
      <c r="I33" s="584"/>
    </row>
    <row r="34" spans="1:9" ht="15.75">
      <c r="A34" s="545"/>
      <c r="B34" s="551" t="s">
        <v>681</v>
      </c>
      <c r="C34" s="545"/>
      <c r="D34" s="545"/>
      <c r="E34" s="548">
        <v>1</v>
      </c>
      <c r="F34" s="545" t="s">
        <v>63</v>
      </c>
      <c r="G34" s="546">
        <v>888888.88888888888</v>
      </c>
      <c r="H34" s="546">
        <f t="shared" si="0"/>
        <v>888888.88888888888</v>
      </c>
      <c r="I34" s="584" t="s">
        <v>1877</v>
      </c>
    </row>
    <row r="35" spans="1:9" ht="47.25">
      <c r="A35" s="545"/>
      <c r="B35" s="551" t="s">
        <v>682</v>
      </c>
      <c r="C35" s="545"/>
      <c r="D35" s="545"/>
      <c r="E35" s="545">
        <v>4</v>
      </c>
      <c r="F35" s="545" t="s">
        <v>683</v>
      </c>
      <c r="G35" s="546">
        <f>ROUND(0.5*330000*1.22,-3)</f>
        <v>201000</v>
      </c>
      <c r="H35" s="546">
        <f t="shared" si="0"/>
        <v>804000</v>
      </c>
      <c r="I35" s="584" t="s">
        <v>1803</v>
      </c>
    </row>
    <row r="36" spans="1:9" ht="15.75">
      <c r="A36" s="545">
        <v>7</v>
      </c>
      <c r="B36" s="551" t="s">
        <v>684</v>
      </c>
      <c r="C36" s="545"/>
      <c r="D36" s="545"/>
      <c r="E36" s="545"/>
      <c r="F36" s="545"/>
      <c r="G36" s="546"/>
      <c r="H36" s="546">
        <f t="shared" si="0"/>
        <v>0</v>
      </c>
      <c r="I36" s="584"/>
    </row>
    <row r="37" spans="1:9" ht="15.75">
      <c r="A37" s="545"/>
      <c r="B37" s="551" t="s">
        <v>685</v>
      </c>
      <c r="C37" s="545"/>
      <c r="D37" s="545"/>
      <c r="E37" s="545"/>
      <c r="F37" s="545"/>
      <c r="G37" s="546"/>
      <c r="H37" s="546">
        <f t="shared" si="0"/>
        <v>0</v>
      </c>
      <c r="I37" s="584"/>
    </row>
    <row r="38" spans="1:9" ht="63">
      <c r="A38" s="545"/>
      <c r="B38" s="551" t="s">
        <v>686</v>
      </c>
      <c r="C38" s="545"/>
      <c r="D38" s="545"/>
      <c r="E38" s="545">
        <v>6</v>
      </c>
      <c r="F38" s="545" t="s">
        <v>63</v>
      </c>
      <c r="G38" s="546">
        <f>ROUND(1.5*330000*1.22,-3)</f>
        <v>604000</v>
      </c>
      <c r="H38" s="546">
        <f t="shared" si="0"/>
        <v>3624000</v>
      </c>
      <c r="I38" s="584" t="s">
        <v>1878</v>
      </c>
    </row>
    <row r="39" spans="1:9" ht="47.25">
      <c r="A39" s="545"/>
      <c r="B39" s="551" t="s">
        <v>687</v>
      </c>
      <c r="C39" s="545"/>
      <c r="D39" s="545"/>
      <c r="E39" s="545">
        <f>0.05*1.5*7.85*6*2</f>
        <v>7.0650000000000013</v>
      </c>
      <c r="F39" s="545" t="s">
        <v>204</v>
      </c>
      <c r="G39" s="546">
        <f>ROUND(10.38/100*330000*1.22,-3)</f>
        <v>42000</v>
      </c>
      <c r="H39" s="546">
        <f t="shared" si="0"/>
        <v>296730.00000000006</v>
      </c>
      <c r="I39" s="584" t="s">
        <v>1879</v>
      </c>
    </row>
    <row r="40" spans="1:9" ht="47.25">
      <c r="A40" s="545"/>
      <c r="B40" s="551" t="s">
        <v>688</v>
      </c>
      <c r="C40" s="545"/>
      <c r="D40" s="545"/>
      <c r="E40" s="545">
        <f>0.4*2</f>
        <v>0.8</v>
      </c>
      <c r="F40" s="545" t="s">
        <v>93</v>
      </c>
      <c r="G40" s="546">
        <f>ROUND(2*330000*1.22,-3)</f>
        <v>805000</v>
      </c>
      <c r="H40" s="546">
        <f t="shared" si="0"/>
        <v>644000</v>
      </c>
      <c r="I40" s="584" t="s">
        <v>1803</v>
      </c>
    </row>
    <row r="41" spans="1:9" ht="15.75">
      <c r="A41" s="545"/>
      <c r="B41" s="551" t="s">
        <v>689</v>
      </c>
      <c r="C41" s="545"/>
      <c r="D41" s="545"/>
      <c r="E41" s="545"/>
      <c r="F41" s="545"/>
      <c r="G41" s="546"/>
      <c r="H41" s="546">
        <f t="shared" si="0"/>
        <v>0</v>
      </c>
      <c r="I41" s="584"/>
    </row>
    <row r="42" spans="1:9" ht="63">
      <c r="A42" s="545"/>
      <c r="B42" s="551" t="s">
        <v>690</v>
      </c>
      <c r="C42" s="545"/>
      <c r="D42" s="545"/>
      <c r="E42" s="545">
        <v>5</v>
      </c>
      <c r="F42" s="545" t="s">
        <v>63</v>
      </c>
      <c r="G42" s="546">
        <f>ROUND(1.5*330000*1.22,-3)</f>
        <v>604000</v>
      </c>
      <c r="H42" s="546">
        <f t="shared" si="0"/>
        <v>3020000</v>
      </c>
      <c r="I42" s="584" t="s">
        <v>1878</v>
      </c>
    </row>
    <row r="43" spans="1:9" ht="47.25">
      <c r="A43" s="545"/>
      <c r="B43" s="551" t="s">
        <v>691</v>
      </c>
      <c r="C43" s="545"/>
      <c r="D43" s="545"/>
      <c r="E43" s="545">
        <f>0.05*2*7.85*6*2</f>
        <v>9.42</v>
      </c>
      <c r="F43" s="545" t="s">
        <v>204</v>
      </c>
      <c r="G43" s="546">
        <f>ROUND(10.38/100*330000*1.22,-3)</f>
        <v>42000</v>
      </c>
      <c r="H43" s="546">
        <f t="shared" si="0"/>
        <v>395640</v>
      </c>
      <c r="I43" s="584" t="s">
        <v>1879</v>
      </c>
    </row>
    <row r="44" spans="1:9" ht="15.75">
      <c r="A44" s="542" t="s">
        <v>101</v>
      </c>
      <c r="B44" s="552" t="s">
        <v>692</v>
      </c>
      <c r="C44" s="542"/>
      <c r="D44" s="542"/>
      <c r="E44" s="542"/>
      <c r="F44" s="545"/>
      <c r="G44" s="546"/>
      <c r="H44" s="546">
        <f t="shared" si="0"/>
        <v>0</v>
      </c>
      <c r="I44" s="584"/>
    </row>
    <row r="45" spans="1:9" ht="47.25">
      <c r="A45" s="545">
        <v>1</v>
      </c>
      <c r="B45" s="551" t="s">
        <v>693</v>
      </c>
      <c r="C45" s="545"/>
      <c r="D45" s="545"/>
      <c r="E45" s="545">
        <v>1</v>
      </c>
      <c r="F45" s="545" t="s">
        <v>123</v>
      </c>
      <c r="G45" s="546">
        <f>(25000000+57500000)*1.1</f>
        <v>90750000</v>
      </c>
      <c r="H45" s="546">
        <f t="shared" si="0"/>
        <v>90750000</v>
      </c>
      <c r="I45" s="584"/>
    </row>
    <row r="46" spans="1:9" ht="15.75">
      <c r="A46" s="542" t="s">
        <v>126</v>
      </c>
      <c r="B46" s="552" t="s">
        <v>694</v>
      </c>
      <c r="C46" s="542"/>
      <c r="D46" s="542"/>
      <c r="E46" s="542"/>
      <c r="F46" s="545"/>
      <c r="G46" s="546"/>
      <c r="H46" s="546">
        <f t="shared" si="0"/>
        <v>0</v>
      </c>
      <c r="I46" s="584"/>
    </row>
    <row r="47" spans="1:9" ht="31.5">
      <c r="A47" s="545" t="s">
        <v>139</v>
      </c>
      <c r="B47" s="552" t="s">
        <v>695</v>
      </c>
      <c r="C47" s="545"/>
      <c r="D47" s="545"/>
      <c r="E47" s="545"/>
      <c r="F47" s="545"/>
      <c r="G47" s="546"/>
      <c r="H47" s="546">
        <f t="shared" si="0"/>
        <v>0</v>
      </c>
      <c r="I47" s="584"/>
    </row>
    <row r="48" spans="1:9" ht="63">
      <c r="A48" s="545">
        <v>1</v>
      </c>
      <c r="B48" s="551" t="s">
        <v>696</v>
      </c>
      <c r="C48" s="545"/>
      <c r="D48" s="545"/>
      <c r="E48" s="545">
        <v>1</v>
      </c>
      <c r="F48" s="545" t="s">
        <v>697</v>
      </c>
      <c r="G48" s="546">
        <f>90000000*1.08</f>
        <v>97200000</v>
      </c>
      <c r="H48" s="546">
        <f t="shared" si="0"/>
        <v>97200000</v>
      </c>
      <c r="I48" s="584"/>
    </row>
    <row r="49" spans="1:9" ht="63">
      <c r="A49" s="545">
        <v>2</v>
      </c>
      <c r="B49" s="551" t="s">
        <v>957</v>
      </c>
      <c r="C49" s="545"/>
      <c r="D49" s="545"/>
      <c r="E49" s="545">
        <v>1</v>
      </c>
      <c r="F49" s="545" t="s">
        <v>697</v>
      </c>
      <c r="G49" s="546">
        <f>ROUND(32*3*303000*1.22,-3)</f>
        <v>35487000</v>
      </c>
      <c r="H49" s="546">
        <f t="shared" si="0"/>
        <v>35487000</v>
      </c>
      <c r="I49" s="584" t="s">
        <v>1880</v>
      </c>
    </row>
    <row r="50" spans="1:9" ht="31.5">
      <c r="A50" s="545" t="s">
        <v>139</v>
      </c>
      <c r="B50" s="552" t="s">
        <v>698</v>
      </c>
      <c r="C50" s="545"/>
      <c r="D50" s="545"/>
      <c r="E50" s="545"/>
      <c r="F50" s="545" t="s">
        <v>111</v>
      </c>
      <c r="G50" s="546"/>
      <c r="H50" s="546">
        <f t="shared" si="0"/>
        <v>0</v>
      </c>
      <c r="I50" s="584"/>
    </row>
    <row r="51" spans="1:9" ht="31.5">
      <c r="A51" s="545">
        <v>1</v>
      </c>
      <c r="B51" s="551" t="s">
        <v>699</v>
      </c>
      <c r="C51" s="545"/>
      <c r="D51" s="545"/>
      <c r="E51" s="545">
        <v>1</v>
      </c>
      <c r="F51" s="545" t="s">
        <v>32</v>
      </c>
      <c r="G51" s="546">
        <v>15400000</v>
      </c>
      <c r="H51" s="546">
        <f t="shared" si="0"/>
        <v>15400000</v>
      </c>
      <c r="I51" s="584"/>
    </row>
    <row r="52" spans="1:9" ht="47.25">
      <c r="A52" s="545">
        <v>2</v>
      </c>
      <c r="B52" s="551" t="s">
        <v>700</v>
      </c>
      <c r="C52" s="545"/>
      <c r="D52" s="545"/>
      <c r="E52" s="545">
        <v>2</v>
      </c>
      <c r="F52" s="545" t="s">
        <v>138</v>
      </c>
      <c r="G52" s="546">
        <v>39657600</v>
      </c>
      <c r="H52" s="546">
        <f t="shared" si="0"/>
        <v>79315200</v>
      </c>
      <c r="I52" s="584" t="s">
        <v>1881</v>
      </c>
    </row>
    <row r="53" spans="1:9" ht="15.75">
      <c r="A53" s="542" t="s">
        <v>147</v>
      </c>
      <c r="B53" s="552" t="s">
        <v>327</v>
      </c>
      <c r="C53" s="542"/>
      <c r="D53" s="542"/>
      <c r="E53" s="542"/>
      <c r="F53" s="545"/>
      <c r="G53" s="546"/>
      <c r="H53" s="546">
        <f t="shared" si="0"/>
        <v>0</v>
      </c>
      <c r="I53" s="584"/>
    </row>
    <row r="54" spans="1:9" ht="15.75">
      <c r="A54" s="553" t="s">
        <v>139</v>
      </c>
      <c r="B54" s="552" t="s">
        <v>701</v>
      </c>
      <c r="C54" s="545"/>
      <c r="D54" s="545"/>
      <c r="E54" s="545"/>
      <c r="F54" s="545"/>
      <c r="G54" s="546"/>
      <c r="H54" s="546">
        <f t="shared" si="0"/>
        <v>0</v>
      </c>
      <c r="I54" s="584"/>
    </row>
    <row r="55" spans="1:9" ht="31.5">
      <c r="A55" s="554" t="s">
        <v>139</v>
      </c>
      <c r="B55" s="555" t="s">
        <v>702</v>
      </c>
      <c r="C55" s="545"/>
      <c r="D55" s="545"/>
      <c r="E55" s="545"/>
      <c r="F55" s="545"/>
      <c r="G55" s="546"/>
      <c r="H55" s="546">
        <f t="shared" si="0"/>
        <v>0</v>
      </c>
      <c r="I55" s="584"/>
    </row>
    <row r="56" spans="1:9" ht="94.5">
      <c r="A56" s="545">
        <v>1</v>
      </c>
      <c r="B56" s="551" t="s">
        <v>1892</v>
      </c>
      <c r="C56" s="545"/>
      <c r="D56" s="545"/>
      <c r="E56" s="545"/>
      <c r="F56" s="545"/>
      <c r="G56" s="546"/>
      <c r="H56" s="546">
        <f t="shared" si="0"/>
        <v>0</v>
      </c>
      <c r="I56" s="584"/>
    </row>
    <row r="57" spans="1:9" ht="47.25">
      <c r="A57" s="545"/>
      <c r="B57" s="551" t="s">
        <v>703</v>
      </c>
      <c r="C57" s="545"/>
      <c r="D57" s="545"/>
      <c r="E57" s="545"/>
      <c r="F57" s="545"/>
      <c r="G57" s="546"/>
      <c r="H57" s="546">
        <f t="shared" si="0"/>
        <v>0</v>
      </c>
      <c r="I57" s="584"/>
    </row>
    <row r="58" spans="1:9" ht="47.25">
      <c r="A58" s="545"/>
      <c r="B58" s="551" t="s">
        <v>704</v>
      </c>
      <c r="C58" s="545"/>
      <c r="D58" s="545"/>
      <c r="E58" s="545"/>
      <c r="F58" s="545"/>
      <c r="G58" s="546"/>
      <c r="H58" s="546">
        <f t="shared" si="0"/>
        <v>0</v>
      </c>
      <c r="I58" s="584"/>
    </row>
    <row r="59" spans="1:9" ht="31.5">
      <c r="A59" s="545"/>
      <c r="B59" s="551" t="s">
        <v>705</v>
      </c>
      <c r="C59" s="545"/>
      <c r="D59" s="545"/>
      <c r="E59" s="545"/>
      <c r="F59" s="545"/>
      <c r="G59" s="546"/>
      <c r="H59" s="546">
        <f t="shared" si="0"/>
        <v>0</v>
      </c>
      <c r="I59" s="584"/>
    </row>
    <row r="60" spans="1:9" ht="94.5">
      <c r="A60" s="545">
        <v>2</v>
      </c>
      <c r="B60" s="551" t="s">
        <v>1893</v>
      </c>
      <c r="C60" s="545"/>
      <c r="D60" s="545"/>
      <c r="E60" s="545"/>
      <c r="F60" s="545"/>
      <c r="G60" s="546"/>
      <c r="H60" s="546">
        <f t="shared" si="0"/>
        <v>0</v>
      </c>
      <c r="I60" s="584"/>
    </row>
    <row r="61" spans="1:9" ht="47.25">
      <c r="A61" s="545"/>
      <c r="B61" s="551" t="s">
        <v>703</v>
      </c>
      <c r="C61" s="545"/>
      <c r="D61" s="545"/>
      <c r="E61" s="545"/>
      <c r="F61" s="545"/>
      <c r="G61" s="546"/>
      <c r="H61" s="546">
        <f t="shared" si="0"/>
        <v>0</v>
      </c>
      <c r="I61" s="584"/>
    </row>
    <row r="62" spans="1:9" ht="47.25">
      <c r="A62" s="545"/>
      <c r="B62" s="551" t="s">
        <v>704</v>
      </c>
      <c r="C62" s="545"/>
      <c r="D62" s="545"/>
      <c r="E62" s="545"/>
      <c r="F62" s="545"/>
      <c r="G62" s="546"/>
      <c r="H62" s="546">
        <f t="shared" si="0"/>
        <v>0</v>
      </c>
      <c r="I62" s="584"/>
    </row>
    <row r="63" spans="1:9" ht="31.5">
      <c r="A63" s="545"/>
      <c r="B63" s="551" t="s">
        <v>706</v>
      </c>
      <c r="C63" s="545"/>
      <c r="D63" s="545"/>
      <c r="E63" s="545"/>
      <c r="F63" s="545"/>
      <c r="G63" s="546"/>
      <c r="H63" s="546">
        <f t="shared" si="0"/>
        <v>0</v>
      </c>
      <c r="I63" s="584"/>
    </row>
    <row r="64" spans="1:9" ht="31.5">
      <c r="A64" s="545"/>
      <c r="B64" s="551" t="s">
        <v>707</v>
      </c>
      <c r="C64" s="545"/>
      <c r="D64" s="545"/>
      <c r="E64" s="545"/>
      <c r="F64" s="545"/>
      <c r="G64" s="546"/>
      <c r="H64" s="546">
        <f t="shared" si="0"/>
        <v>0</v>
      </c>
      <c r="I64" s="584"/>
    </row>
    <row r="65" spans="1:9" ht="94.5">
      <c r="A65" s="545">
        <v>3</v>
      </c>
      <c r="B65" s="551" t="s">
        <v>1894</v>
      </c>
      <c r="C65" s="545"/>
      <c r="D65" s="545"/>
      <c r="E65" s="545"/>
      <c r="F65" s="545"/>
      <c r="G65" s="546"/>
      <c r="H65" s="546">
        <f t="shared" si="0"/>
        <v>0</v>
      </c>
      <c r="I65" s="584"/>
    </row>
    <row r="66" spans="1:9" ht="47.25">
      <c r="A66" s="545"/>
      <c r="B66" s="551" t="s">
        <v>703</v>
      </c>
      <c r="C66" s="545"/>
      <c r="D66" s="545"/>
      <c r="E66" s="545"/>
      <c r="F66" s="545"/>
      <c r="G66" s="546"/>
      <c r="H66" s="546">
        <f t="shared" si="0"/>
        <v>0</v>
      </c>
      <c r="I66" s="584"/>
    </row>
    <row r="67" spans="1:9" ht="47.25">
      <c r="A67" s="545"/>
      <c r="B67" s="551" t="s">
        <v>704</v>
      </c>
      <c r="C67" s="545"/>
      <c r="D67" s="545"/>
      <c r="E67" s="545"/>
      <c r="F67" s="545"/>
      <c r="G67" s="546"/>
      <c r="H67" s="546">
        <f t="shared" si="0"/>
        <v>0</v>
      </c>
      <c r="I67" s="584"/>
    </row>
    <row r="68" spans="1:9" ht="31.5">
      <c r="A68" s="545"/>
      <c r="B68" s="551" t="s">
        <v>707</v>
      </c>
      <c r="C68" s="545"/>
      <c r="D68" s="545"/>
      <c r="E68" s="545"/>
      <c r="F68" s="545"/>
      <c r="G68" s="546"/>
      <c r="H68" s="546">
        <f t="shared" si="0"/>
        <v>0</v>
      </c>
      <c r="I68" s="584"/>
    </row>
    <row r="69" spans="1:9" ht="94.5">
      <c r="A69" s="545">
        <v>4</v>
      </c>
      <c r="B69" s="551" t="s">
        <v>708</v>
      </c>
      <c r="C69" s="545"/>
      <c r="D69" s="545"/>
      <c r="E69" s="545">
        <v>1</v>
      </c>
      <c r="F69" s="545" t="s">
        <v>111</v>
      </c>
      <c r="G69" s="546">
        <v>4866666.666666667</v>
      </c>
      <c r="H69" s="546">
        <f t="shared" si="0"/>
        <v>4866666.666666667</v>
      </c>
      <c r="I69" s="584"/>
    </row>
    <row r="70" spans="1:9" ht="47.25">
      <c r="A70" s="545"/>
      <c r="B70" s="551" t="s">
        <v>703</v>
      </c>
      <c r="C70" s="545"/>
      <c r="D70" s="545"/>
      <c r="E70" s="545"/>
      <c r="F70" s="545"/>
      <c r="G70" s="546"/>
      <c r="H70" s="546">
        <f t="shared" si="0"/>
        <v>0</v>
      </c>
      <c r="I70" s="584"/>
    </row>
    <row r="71" spans="1:9" ht="47.25">
      <c r="A71" s="545"/>
      <c r="B71" s="551" t="s">
        <v>704</v>
      </c>
      <c r="C71" s="545"/>
      <c r="D71" s="545"/>
      <c r="E71" s="545"/>
      <c r="F71" s="545"/>
      <c r="G71" s="546"/>
      <c r="H71" s="546">
        <f t="shared" si="0"/>
        <v>0</v>
      </c>
      <c r="I71" s="584"/>
    </row>
    <row r="72" spans="1:9" ht="31.5">
      <c r="A72" s="545"/>
      <c r="B72" s="551" t="s">
        <v>706</v>
      </c>
      <c r="C72" s="545"/>
      <c r="D72" s="545"/>
      <c r="E72" s="545"/>
      <c r="F72" s="545"/>
      <c r="G72" s="546"/>
      <c r="H72" s="546">
        <f t="shared" si="0"/>
        <v>0</v>
      </c>
      <c r="I72" s="584"/>
    </row>
    <row r="73" spans="1:9" ht="31.5">
      <c r="A73" s="545"/>
      <c r="B73" s="551" t="s">
        <v>707</v>
      </c>
      <c r="C73" s="545"/>
      <c r="D73" s="545"/>
      <c r="E73" s="545"/>
      <c r="F73" s="545"/>
      <c r="G73" s="546"/>
      <c r="H73" s="546">
        <f t="shared" si="0"/>
        <v>0</v>
      </c>
      <c r="I73" s="584"/>
    </row>
    <row r="74" spans="1:9" ht="63">
      <c r="A74" s="545">
        <v>5</v>
      </c>
      <c r="B74" s="549" t="s">
        <v>1895</v>
      </c>
      <c r="C74" s="545"/>
      <c r="D74" s="545"/>
      <c r="E74" s="545"/>
      <c r="F74" s="545"/>
      <c r="G74" s="546"/>
      <c r="H74" s="546">
        <f t="shared" si="0"/>
        <v>0</v>
      </c>
      <c r="I74" s="584"/>
    </row>
    <row r="75" spans="1:9" ht="47.25">
      <c r="A75" s="545"/>
      <c r="B75" s="549" t="s">
        <v>709</v>
      </c>
      <c r="C75" s="545"/>
      <c r="D75" s="545"/>
      <c r="E75" s="545"/>
      <c r="F75" s="545"/>
      <c r="G75" s="546"/>
      <c r="H75" s="546">
        <f t="shared" si="0"/>
        <v>0</v>
      </c>
      <c r="I75" s="584"/>
    </row>
    <row r="76" spans="1:9" ht="31.5">
      <c r="A76" s="545">
        <v>6</v>
      </c>
      <c r="B76" s="549" t="s">
        <v>710</v>
      </c>
      <c r="C76" s="545"/>
      <c r="D76" s="545"/>
      <c r="E76" s="545">
        <v>4</v>
      </c>
      <c r="F76" s="545" t="s">
        <v>111</v>
      </c>
      <c r="G76" s="546">
        <v>1750000</v>
      </c>
      <c r="H76" s="546">
        <f t="shared" si="0"/>
        <v>7000000</v>
      </c>
      <c r="I76" s="584"/>
    </row>
    <row r="77" spans="1:9" ht="78.75">
      <c r="A77" s="545"/>
      <c r="B77" s="549" t="s">
        <v>711</v>
      </c>
      <c r="C77" s="545"/>
      <c r="D77" s="545"/>
      <c r="E77" s="545"/>
      <c r="F77" s="545"/>
      <c r="G77" s="546"/>
      <c r="H77" s="546">
        <f t="shared" ref="H77:H140" si="1">G77*E77</f>
        <v>0</v>
      </c>
      <c r="I77" s="584"/>
    </row>
    <row r="78" spans="1:9" ht="47.25">
      <c r="A78" s="545"/>
      <c r="B78" s="549" t="s">
        <v>1896</v>
      </c>
      <c r="C78" s="545"/>
      <c r="D78" s="545"/>
      <c r="E78" s="545"/>
      <c r="F78" s="545"/>
      <c r="G78" s="546"/>
      <c r="H78" s="546">
        <f t="shared" si="1"/>
        <v>0</v>
      </c>
      <c r="I78" s="584"/>
    </row>
    <row r="79" spans="1:9" ht="47.25">
      <c r="A79" s="545"/>
      <c r="B79" s="549" t="s">
        <v>712</v>
      </c>
      <c r="C79" s="545"/>
      <c r="D79" s="545"/>
      <c r="E79" s="545"/>
      <c r="F79" s="545"/>
      <c r="G79" s="546"/>
      <c r="H79" s="546">
        <f t="shared" si="1"/>
        <v>0</v>
      </c>
      <c r="I79" s="584"/>
    </row>
    <row r="80" spans="1:9" ht="47.25">
      <c r="A80" s="545"/>
      <c r="B80" s="549" t="s">
        <v>713</v>
      </c>
      <c r="C80" s="545"/>
      <c r="D80" s="545"/>
      <c r="E80" s="545"/>
      <c r="F80" s="545"/>
      <c r="G80" s="546"/>
      <c r="H80" s="546">
        <f t="shared" si="1"/>
        <v>0</v>
      </c>
      <c r="I80" s="584"/>
    </row>
    <row r="81" spans="1:9" ht="15.75">
      <c r="A81" s="556" t="s">
        <v>139</v>
      </c>
      <c r="B81" s="555" t="s">
        <v>714</v>
      </c>
      <c r="C81" s="545"/>
      <c r="D81" s="545"/>
      <c r="E81" s="545"/>
      <c r="F81" s="545"/>
      <c r="G81" s="546"/>
      <c r="H81" s="546">
        <f t="shared" si="1"/>
        <v>0</v>
      </c>
      <c r="I81" s="584"/>
    </row>
    <row r="82" spans="1:9" ht="31.5">
      <c r="A82" s="545">
        <v>1</v>
      </c>
      <c r="B82" s="549" t="s">
        <v>715</v>
      </c>
      <c r="C82" s="545"/>
      <c r="D82" s="545"/>
      <c r="E82" s="545">
        <v>3</v>
      </c>
      <c r="F82" s="545" t="s">
        <v>111</v>
      </c>
      <c r="G82" s="546">
        <v>1633333.3333333333</v>
      </c>
      <c r="H82" s="546">
        <f t="shared" si="1"/>
        <v>4900000</v>
      </c>
      <c r="I82" s="584" t="s">
        <v>1877</v>
      </c>
    </row>
    <row r="83" spans="1:9" ht="31.5">
      <c r="A83" s="545">
        <v>2</v>
      </c>
      <c r="B83" s="549" t="s">
        <v>716</v>
      </c>
      <c r="C83" s="545"/>
      <c r="D83" s="545"/>
      <c r="E83" s="545">
        <v>3</v>
      </c>
      <c r="F83" s="545" t="s">
        <v>111</v>
      </c>
      <c r="G83" s="546">
        <f>ROUND(3*0.5*303000*1.22,-3)</f>
        <v>554000</v>
      </c>
      <c r="H83" s="546">
        <f t="shared" si="1"/>
        <v>1662000</v>
      </c>
      <c r="I83" s="584" t="s">
        <v>1882</v>
      </c>
    </row>
    <row r="84" spans="1:9" ht="47.25">
      <c r="A84" s="545"/>
      <c r="B84" s="549" t="s">
        <v>1897</v>
      </c>
      <c r="C84" s="545"/>
      <c r="D84" s="545"/>
      <c r="E84" s="545"/>
      <c r="F84" s="545"/>
      <c r="G84" s="546"/>
      <c r="H84" s="546">
        <f t="shared" si="1"/>
        <v>0</v>
      </c>
      <c r="I84" s="584"/>
    </row>
    <row r="85" spans="1:9" ht="15.75">
      <c r="A85" s="556" t="s">
        <v>139</v>
      </c>
      <c r="B85" s="555" t="s">
        <v>717</v>
      </c>
      <c r="C85" s="545"/>
      <c r="D85" s="545"/>
      <c r="E85" s="545"/>
      <c r="F85" s="545"/>
      <c r="G85" s="546"/>
      <c r="H85" s="546">
        <f t="shared" si="1"/>
        <v>0</v>
      </c>
      <c r="I85" s="584"/>
    </row>
    <row r="86" spans="1:9" ht="31.5">
      <c r="A86" s="545">
        <v>1</v>
      </c>
      <c r="B86" s="549" t="s">
        <v>718</v>
      </c>
      <c r="C86" s="545"/>
      <c r="D86" s="545"/>
      <c r="E86" s="545">
        <v>3</v>
      </c>
      <c r="F86" s="545" t="s">
        <v>111</v>
      </c>
      <c r="G86" s="546">
        <v>1633333.3333333333</v>
      </c>
      <c r="H86" s="546">
        <f t="shared" si="1"/>
        <v>4900000</v>
      </c>
      <c r="I86" s="584"/>
    </row>
    <row r="87" spans="1:9" ht="31.5">
      <c r="A87" s="545">
        <v>2</v>
      </c>
      <c r="B87" s="549" t="s">
        <v>719</v>
      </c>
      <c r="C87" s="545"/>
      <c r="D87" s="545"/>
      <c r="E87" s="545">
        <v>3</v>
      </c>
      <c r="F87" s="545" t="s">
        <v>111</v>
      </c>
      <c r="G87" s="546">
        <f>ROUND(3*0.5*303000*1.22,-3)</f>
        <v>554000</v>
      </c>
      <c r="H87" s="546">
        <f t="shared" si="1"/>
        <v>1662000</v>
      </c>
      <c r="I87" s="584" t="s">
        <v>1882</v>
      </c>
    </row>
    <row r="88" spans="1:9" ht="47.25">
      <c r="A88" s="545"/>
      <c r="B88" s="549" t="s">
        <v>1897</v>
      </c>
      <c r="C88" s="545"/>
      <c r="D88" s="545"/>
      <c r="E88" s="545"/>
      <c r="F88" s="545"/>
      <c r="G88" s="546"/>
      <c r="H88" s="546">
        <f t="shared" si="1"/>
        <v>0</v>
      </c>
      <c r="I88" s="584"/>
    </row>
    <row r="89" spans="1:9" ht="47.25">
      <c r="A89" s="545">
        <v>3</v>
      </c>
      <c r="B89" s="549" t="s">
        <v>720</v>
      </c>
      <c r="C89" s="545"/>
      <c r="D89" s="545"/>
      <c r="E89" s="545">
        <f>2.5*3</f>
        <v>7.5</v>
      </c>
      <c r="F89" s="545" t="s">
        <v>63</v>
      </c>
      <c r="G89" s="546">
        <f>ROUND(0.6*1.1*330000*1.22,-3)</f>
        <v>266000</v>
      </c>
      <c r="H89" s="546">
        <f t="shared" si="1"/>
        <v>1995000</v>
      </c>
      <c r="I89" s="584" t="s">
        <v>1883</v>
      </c>
    </row>
    <row r="90" spans="1:9" ht="31.5">
      <c r="A90" s="564"/>
      <c r="B90" s="580" t="s">
        <v>721</v>
      </c>
      <c r="C90" s="564"/>
      <c r="D90" s="564"/>
      <c r="E90" s="564"/>
      <c r="F90" s="564"/>
      <c r="G90" s="566"/>
      <c r="H90" s="566">
        <f t="shared" si="1"/>
        <v>0</v>
      </c>
      <c r="I90" s="585"/>
    </row>
    <row r="91" spans="1:9" ht="31.5">
      <c r="A91" s="557" t="s">
        <v>139</v>
      </c>
      <c r="B91" s="555" t="s">
        <v>722</v>
      </c>
      <c r="C91" s="557"/>
      <c r="D91" s="557"/>
      <c r="E91" s="557">
        <v>3</v>
      </c>
      <c r="F91" s="557" t="s">
        <v>123</v>
      </c>
      <c r="G91" s="558"/>
      <c r="H91" s="546">
        <f t="shared" si="1"/>
        <v>0</v>
      </c>
      <c r="I91" s="586"/>
    </row>
    <row r="92" spans="1:9" ht="31.5">
      <c r="A92" s="545"/>
      <c r="B92" s="559" t="s">
        <v>723</v>
      </c>
      <c r="C92" s="560"/>
      <c r="D92" s="560"/>
      <c r="E92" s="560"/>
      <c r="F92" s="545"/>
      <c r="G92" s="546"/>
      <c r="H92" s="546">
        <f t="shared" si="1"/>
        <v>0</v>
      </c>
      <c r="I92" s="584"/>
    </row>
    <row r="93" spans="1:9" ht="94.5">
      <c r="A93" s="545">
        <v>1</v>
      </c>
      <c r="B93" s="549" t="s">
        <v>1898</v>
      </c>
      <c r="C93" s="545"/>
      <c r="D93" s="545"/>
      <c r="E93" s="545"/>
      <c r="F93" s="545"/>
      <c r="G93" s="546"/>
      <c r="H93" s="546">
        <f t="shared" si="1"/>
        <v>0</v>
      </c>
      <c r="I93" s="584"/>
    </row>
    <row r="94" spans="1:9" ht="47.25">
      <c r="A94" s="545"/>
      <c r="B94" s="549" t="s">
        <v>724</v>
      </c>
      <c r="C94" s="545"/>
      <c r="D94" s="545"/>
      <c r="E94" s="545"/>
      <c r="F94" s="545"/>
      <c r="G94" s="546"/>
      <c r="H94" s="546">
        <f t="shared" si="1"/>
        <v>0</v>
      </c>
      <c r="I94" s="584"/>
    </row>
    <row r="95" spans="1:9" ht="47.25">
      <c r="A95" s="545"/>
      <c r="B95" s="549" t="s">
        <v>725</v>
      </c>
      <c r="C95" s="545"/>
      <c r="D95" s="545"/>
      <c r="E95" s="545"/>
      <c r="F95" s="545"/>
      <c r="G95" s="546"/>
      <c r="H95" s="546">
        <f t="shared" si="1"/>
        <v>0</v>
      </c>
      <c r="I95" s="584"/>
    </row>
    <row r="96" spans="1:9" ht="31.5">
      <c r="A96" s="545"/>
      <c r="B96" s="549" t="s">
        <v>726</v>
      </c>
      <c r="C96" s="545"/>
      <c r="D96" s="545"/>
      <c r="E96" s="545"/>
      <c r="F96" s="545"/>
      <c r="G96" s="546"/>
      <c r="H96" s="546">
        <f t="shared" si="1"/>
        <v>0</v>
      </c>
      <c r="I96" s="584"/>
    </row>
    <row r="97" spans="1:9" ht="31.5">
      <c r="A97" s="545"/>
      <c r="B97" s="549" t="s">
        <v>705</v>
      </c>
      <c r="C97" s="545"/>
      <c r="D97" s="545"/>
      <c r="E97" s="545"/>
      <c r="F97" s="545"/>
      <c r="G97" s="546"/>
      <c r="H97" s="546">
        <f t="shared" si="1"/>
        <v>0</v>
      </c>
      <c r="I97" s="584"/>
    </row>
    <row r="98" spans="1:9" ht="94.5">
      <c r="A98" s="545">
        <v>2</v>
      </c>
      <c r="B98" s="549" t="s">
        <v>1899</v>
      </c>
      <c r="C98" s="545"/>
      <c r="D98" s="545"/>
      <c r="E98" s="545"/>
      <c r="F98" s="545"/>
      <c r="G98" s="546"/>
      <c r="H98" s="546">
        <f t="shared" si="1"/>
        <v>0</v>
      </c>
      <c r="I98" s="584"/>
    </row>
    <row r="99" spans="1:9" ht="47.25">
      <c r="A99" s="545"/>
      <c r="B99" s="549" t="s">
        <v>727</v>
      </c>
      <c r="C99" s="545"/>
      <c r="D99" s="545"/>
      <c r="E99" s="545"/>
      <c r="F99" s="545"/>
      <c r="G99" s="546"/>
      <c r="H99" s="546">
        <f t="shared" si="1"/>
        <v>0</v>
      </c>
      <c r="I99" s="584"/>
    </row>
    <row r="100" spans="1:9" ht="31.5">
      <c r="A100" s="545">
        <v>3</v>
      </c>
      <c r="B100" s="549" t="s">
        <v>728</v>
      </c>
      <c r="C100" s="545"/>
      <c r="D100" s="545"/>
      <c r="E100" s="545">
        <v>2</v>
      </c>
      <c r="F100" s="545" t="s">
        <v>111</v>
      </c>
      <c r="G100" s="546">
        <v>2010000</v>
      </c>
      <c r="H100" s="546">
        <f t="shared" si="1"/>
        <v>4020000</v>
      </c>
      <c r="I100" s="584" t="s">
        <v>1877</v>
      </c>
    </row>
    <row r="101" spans="1:9" ht="47.25">
      <c r="A101" s="545"/>
      <c r="B101" s="549" t="s">
        <v>729</v>
      </c>
      <c r="C101" s="545"/>
      <c r="D101" s="545"/>
      <c r="E101" s="545"/>
      <c r="F101" s="545"/>
      <c r="G101" s="546"/>
      <c r="H101" s="546">
        <f t="shared" si="1"/>
        <v>0</v>
      </c>
      <c r="I101" s="584"/>
    </row>
    <row r="102" spans="1:9" ht="31.5">
      <c r="A102" s="545"/>
      <c r="B102" s="549" t="s">
        <v>1900</v>
      </c>
      <c r="C102" s="545"/>
      <c r="D102" s="545"/>
      <c r="E102" s="545"/>
      <c r="F102" s="545"/>
      <c r="G102" s="546"/>
      <c r="H102" s="546">
        <f t="shared" si="1"/>
        <v>0</v>
      </c>
      <c r="I102" s="584"/>
    </row>
    <row r="103" spans="1:9" ht="47.25">
      <c r="A103" s="545">
        <v>4</v>
      </c>
      <c r="B103" s="549" t="s">
        <v>730</v>
      </c>
      <c r="C103" s="545"/>
      <c r="D103" s="545"/>
      <c r="E103" s="545">
        <f>12.7-3</f>
        <v>9.6999999999999993</v>
      </c>
      <c r="F103" s="545" t="s">
        <v>63</v>
      </c>
      <c r="G103" s="546">
        <v>1733333.3333333333</v>
      </c>
      <c r="H103" s="546">
        <f t="shared" si="1"/>
        <v>16813333.333333332</v>
      </c>
      <c r="I103" s="584"/>
    </row>
    <row r="104" spans="1:9" ht="31.5">
      <c r="A104" s="545"/>
      <c r="B104" s="549" t="s">
        <v>731</v>
      </c>
      <c r="C104" s="545"/>
      <c r="D104" s="545"/>
      <c r="E104" s="545"/>
      <c r="F104" s="545"/>
      <c r="G104" s="546"/>
      <c r="H104" s="546">
        <f t="shared" si="1"/>
        <v>0</v>
      </c>
      <c r="I104" s="584"/>
    </row>
    <row r="105" spans="1:9" ht="31.5">
      <c r="A105" s="545"/>
      <c r="B105" s="549" t="s">
        <v>732</v>
      </c>
      <c r="C105" s="545"/>
      <c r="D105" s="545"/>
      <c r="E105" s="545">
        <v>12</v>
      </c>
      <c r="F105" s="545" t="s">
        <v>63</v>
      </c>
      <c r="G105" s="546">
        <f>ROUND(0.6*0.2*330000*1.22,-3)</f>
        <v>48000</v>
      </c>
      <c r="H105" s="546">
        <f t="shared" si="1"/>
        <v>576000</v>
      </c>
      <c r="I105" s="584" t="s">
        <v>1884</v>
      </c>
    </row>
    <row r="106" spans="1:9" ht="31.5">
      <c r="A106" s="545"/>
      <c r="B106" s="549" t="s">
        <v>733</v>
      </c>
      <c r="C106" s="545"/>
      <c r="D106" s="545"/>
      <c r="E106" s="545">
        <v>8</v>
      </c>
      <c r="F106" s="545" t="s">
        <v>63</v>
      </c>
      <c r="G106" s="546">
        <f>ROUND(0.35*0.2*303000*1.22,-3)</f>
        <v>26000</v>
      </c>
      <c r="H106" s="546">
        <f t="shared" si="1"/>
        <v>208000</v>
      </c>
      <c r="I106" s="584" t="s">
        <v>1884</v>
      </c>
    </row>
    <row r="107" spans="1:9" ht="31.5">
      <c r="A107" s="545"/>
      <c r="B107" s="549" t="s">
        <v>734</v>
      </c>
      <c r="C107" s="545"/>
      <c r="D107" s="545"/>
      <c r="E107" s="545">
        <v>8</v>
      </c>
      <c r="F107" s="545" t="s">
        <v>63</v>
      </c>
      <c r="G107" s="546">
        <f>ROUND(0.2*0.2*303000*1.22,-3)</f>
        <v>15000</v>
      </c>
      <c r="H107" s="546">
        <f t="shared" si="1"/>
        <v>120000</v>
      </c>
      <c r="I107" s="584" t="s">
        <v>1884</v>
      </c>
    </row>
    <row r="108" spans="1:9" ht="47.25">
      <c r="A108" s="545">
        <v>5</v>
      </c>
      <c r="B108" s="549" t="s">
        <v>735</v>
      </c>
      <c r="C108" s="545"/>
      <c r="D108" s="545"/>
      <c r="E108" s="545">
        <v>1</v>
      </c>
      <c r="F108" s="545" t="s">
        <v>111</v>
      </c>
      <c r="G108" s="546">
        <v>1633333.3333333333</v>
      </c>
      <c r="H108" s="546">
        <f t="shared" si="1"/>
        <v>1633333.3333333333</v>
      </c>
      <c r="I108" s="584" t="s">
        <v>1877</v>
      </c>
    </row>
    <row r="109" spans="1:9" ht="78.75">
      <c r="A109" s="545"/>
      <c r="B109" s="549" t="s">
        <v>736</v>
      </c>
      <c r="C109" s="545"/>
      <c r="D109" s="545"/>
      <c r="E109" s="545"/>
      <c r="F109" s="545"/>
      <c r="G109" s="546"/>
      <c r="H109" s="546">
        <f t="shared" si="1"/>
        <v>0</v>
      </c>
      <c r="I109" s="584"/>
    </row>
    <row r="110" spans="1:9" ht="47.25">
      <c r="A110" s="545"/>
      <c r="B110" s="549" t="s">
        <v>737</v>
      </c>
      <c r="C110" s="545"/>
      <c r="D110" s="545"/>
      <c r="E110" s="545"/>
      <c r="F110" s="545"/>
      <c r="G110" s="546"/>
      <c r="H110" s="546">
        <f t="shared" si="1"/>
        <v>0</v>
      </c>
      <c r="I110" s="584"/>
    </row>
    <row r="111" spans="1:9" ht="31.5">
      <c r="A111" s="545"/>
      <c r="B111" s="549" t="s">
        <v>738</v>
      </c>
      <c r="C111" s="545"/>
      <c r="D111" s="545"/>
      <c r="E111" s="545"/>
      <c r="F111" s="545"/>
      <c r="G111" s="546"/>
      <c r="H111" s="546">
        <f t="shared" si="1"/>
        <v>0</v>
      </c>
      <c r="I111" s="584"/>
    </row>
    <row r="112" spans="1:9" ht="47.25">
      <c r="A112" s="545"/>
      <c r="B112" s="549" t="s">
        <v>739</v>
      </c>
      <c r="C112" s="545"/>
      <c r="D112" s="545"/>
      <c r="E112" s="545"/>
      <c r="F112" s="545"/>
      <c r="G112" s="546"/>
      <c r="H112" s="546">
        <f t="shared" si="1"/>
        <v>0</v>
      </c>
      <c r="I112" s="584"/>
    </row>
    <row r="113" spans="1:9" ht="15.75">
      <c r="A113" s="557" t="s">
        <v>139</v>
      </c>
      <c r="B113" s="555" t="s">
        <v>740</v>
      </c>
      <c r="C113" s="557"/>
      <c r="D113" s="557"/>
      <c r="E113" s="557"/>
      <c r="F113" s="557"/>
      <c r="G113" s="558"/>
      <c r="H113" s="546">
        <f t="shared" si="1"/>
        <v>0</v>
      </c>
      <c r="I113" s="586"/>
    </row>
    <row r="114" spans="1:9" ht="31.5">
      <c r="A114" s="545">
        <v>1</v>
      </c>
      <c r="B114" s="549" t="s">
        <v>741</v>
      </c>
      <c r="C114" s="545"/>
      <c r="D114" s="545"/>
      <c r="E114" s="545">
        <v>1</v>
      </c>
      <c r="F114" s="545" t="s">
        <v>111</v>
      </c>
      <c r="G114" s="546">
        <v>2010000</v>
      </c>
      <c r="H114" s="546">
        <f t="shared" si="1"/>
        <v>2010000</v>
      </c>
      <c r="I114" s="584" t="s">
        <v>1877</v>
      </c>
    </row>
    <row r="115" spans="1:9" ht="47.25">
      <c r="A115" s="545"/>
      <c r="B115" s="549" t="s">
        <v>742</v>
      </c>
      <c r="C115" s="545"/>
      <c r="D115" s="545"/>
      <c r="E115" s="545"/>
      <c r="F115" s="545"/>
      <c r="G115" s="546"/>
      <c r="H115" s="546">
        <f t="shared" si="1"/>
        <v>0</v>
      </c>
      <c r="I115" s="584"/>
    </row>
    <row r="116" spans="1:9" ht="47.25">
      <c r="A116" s="545">
        <v>2</v>
      </c>
      <c r="B116" s="549" t="s">
        <v>743</v>
      </c>
      <c r="C116" s="545"/>
      <c r="D116" s="545"/>
      <c r="E116" s="545">
        <v>1</v>
      </c>
      <c r="F116" s="545" t="s">
        <v>111</v>
      </c>
      <c r="G116" s="546">
        <v>1633333.3333333333</v>
      </c>
      <c r="H116" s="546">
        <f t="shared" si="1"/>
        <v>1633333.3333333333</v>
      </c>
      <c r="I116" s="584" t="s">
        <v>1877</v>
      </c>
    </row>
    <row r="117" spans="1:9" ht="78.75">
      <c r="A117" s="545"/>
      <c r="B117" s="549" t="s">
        <v>736</v>
      </c>
      <c r="C117" s="545"/>
      <c r="D117" s="545"/>
      <c r="E117" s="545"/>
      <c r="F117" s="545"/>
      <c r="G117" s="546"/>
      <c r="H117" s="546">
        <f t="shared" si="1"/>
        <v>0</v>
      </c>
      <c r="I117" s="584"/>
    </row>
    <row r="118" spans="1:9" ht="47.25">
      <c r="A118" s="545"/>
      <c r="B118" s="549" t="s">
        <v>1901</v>
      </c>
      <c r="C118" s="545"/>
      <c r="D118" s="545"/>
      <c r="E118" s="545"/>
      <c r="F118" s="545"/>
      <c r="G118" s="546"/>
      <c r="H118" s="546">
        <f t="shared" si="1"/>
        <v>0</v>
      </c>
      <c r="I118" s="584"/>
    </row>
    <row r="119" spans="1:9" ht="31.5">
      <c r="A119" s="545"/>
      <c r="B119" s="549" t="s">
        <v>744</v>
      </c>
      <c r="C119" s="545"/>
      <c r="D119" s="545"/>
      <c r="E119" s="545"/>
      <c r="F119" s="545"/>
      <c r="G119" s="546"/>
      <c r="H119" s="546">
        <f t="shared" si="1"/>
        <v>0</v>
      </c>
      <c r="I119" s="584"/>
    </row>
    <row r="120" spans="1:9" ht="47.25">
      <c r="A120" s="545"/>
      <c r="B120" s="549" t="s">
        <v>745</v>
      </c>
      <c r="C120" s="545"/>
      <c r="D120" s="545"/>
      <c r="E120" s="545"/>
      <c r="F120" s="545"/>
      <c r="G120" s="546"/>
      <c r="H120" s="546">
        <f t="shared" si="1"/>
        <v>0</v>
      </c>
      <c r="I120" s="584"/>
    </row>
    <row r="121" spans="1:9" ht="15.75">
      <c r="A121" s="545">
        <v>3</v>
      </c>
      <c r="B121" s="549" t="s">
        <v>746</v>
      </c>
      <c r="C121" s="545"/>
      <c r="D121" s="545"/>
      <c r="E121" s="545"/>
      <c r="F121" s="545"/>
      <c r="G121" s="546"/>
      <c r="H121" s="546">
        <f t="shared" si="1"/>
        <v>0</v>
      </c>
      <c r="I121" s="584"/>
    </row>
    <row r="122" spans="1:9" ht="47.25">
      <c r="A122" s="545"/>
      <c r="B122" s="551" t="s">
        <v>747</v>
      </c>
      <c r="C122" s="545"/>
      <c r="D122" s="545"/>
      <c r="E122" s="545"/>
      <c r="F122" s="545"/>
      <c r="G122" s="546"/>
      <c r="H122" s="546">
        <f t="shared" si="1"/>
        <v>0</v>
      </c>
      <c r="I122" s="584"/>
    </row>
    <row r="123" spans="1:9" ht="31.5">
      <c r="A123" s="545">
        <v>4</v>
      </c>
      <c r="B123" s="549" t="s">
        <v>748</v>
      </c>
      <c r="C123" s="545"/>
      <c r="D123" s="545"/>
      <c r="E123" s="545">
        <v>4</v>
      </c>
      <c r="F123" s="545" t="s">
        <v>111</v>
      </c>
      <c r="G123" s="546">
        <v>487500</v>
      </c>
      <c r="H123" s="546">
        <f t="shared" si="1"/>
        <v>1950000</v>
      </c>
      <c r="I123" s="584" t="s">
        <v>1885</v>
      </c>
    </row>
    <row r="124" spans="1:9" ht="31.5">
      <c r="A124" s="545">
        <v>5</v>
      </c>
      <c r="B124" s="551" t="s">
        <v>749</v>
      </c>
      <c r="C124" s="545"/>
      <c r="D124" s="545"/>
      <c r="E124" s="545">
        <f>1.5*4</f>
        <v>6</v>
      </c>
      <c r="F124" s="545" t="s">
        <v>63</v>
      </c>
      <c r="G124" s="546">
        <f>ROUND(0.5*0.2*330000*1.22,-3)</f>
        <v>40000</v>
      </c>
      <c r="H124" s="546">
        <f t="shared" si="1"/>
        <v>240000</v>
      </c>
      <c r="I124" s="584" t="s">
        <v>1884</v>
      </c>
    </row>
    <row r="125" spans="1:9" ht="63">
      <c r="A125" s="545">
        <v>6</v>
      </c>
      <c r="B125" s="549" t="s">
        <v>750</v>
      </c>
      <c r="C125" s="545"/>
      <c r="D125" s="545"/>
      <c r="E125" s="545">
        <v>6</v>
      </c>
      <c r="F125" s="545" t="s">
        <v>111</v>
      </c>
      <c r="G125" s="546">
        <f>ROUND(1.5*303000*1.22,-3)</f>
        <v>554000</v>
      </c>
      <c r="H125" s="546">
        <f t="shared" si="1"/>
        <v>3324000</v>
      </c>
      <c r="I125" s="584" t="s">
        <v>1886</v>
      </c>
    </row>
    <row r="126" spans="1:9" ht="47.25">
      <c r="A126" s="545"/>
      <c r="B126" s="549" t="s">
        <v>751</v>
      </c>
      <c r="C126" s="545"/>
      <c r="D126" s="545"/>
      <c r="E126" s="545"/>
      <c r="F126" s="545"/>
      <c r="G126" s="546"/>
      <c r="H126" s="546">
        <f t="shared" si="1"/>
        <v>0</v>
      </c>
      <c r="I126" s="584"/>
    </row>
    <row r="127" spans="1:9" ht="47.25">
      <c r="A127" s="545">
        <v>7</v>
      </c>
      <c r="B127" s="549" t="s">
        <v>752</v>
      </c>
      <c r="C127" s="545"/>
      <c r="D127" s="545"/>
      <c r="E127" s="545">
        <v>6</v>
      </c>
      <c r="F127" s="545" t="s">
        <v>111</v>
      </c>
      <c r="G127" s="546">
        <f>ROUND(1.5*303000*1.22,-3)</f>
        <v>554000</v>
      </c>
      <c r="H127" s="546">
        <f t="shared" si="1"/>
        <v>3324000</v>
      </c>
      <c r="I127" s="584" t="s">
        <v>1886</v>
      </c>
    </row>
    <row r="128" spans="1:9" ht="47.25">
      <c r="A128" s="545"/>
      <c r="B128" s="549" t="s">
        <v>753</v>
      </c>
      <c r="C128" s="545"/>
      <c r="D128" s="545"/>
      <c r="E128" s="545"/>
      <c r="F128" s="545"/>
      <c r="G128" s="546"/>
      <c r="H128" s="546">
        <f t="shared" si="1"/>
        <v>0</v>
      </c>
      <c r="I128" s="584"/>
    </row>
    <row r="129" spans="1:9" ht="31.5">
      <c r="A129" s="545"/>
      <c r="B129" s="549" t="s">
        <v>754</v>
      </c>
      <c r="C129" s="545"/>
      <c r="D129" s="545"/>
      <c r="E129" s="545"/>
      <c r="F129" s="545"/>
      <c r="G129" s="546"/>
      <c r="H129" s="546">
        <f t="shared" si="1"/>
        <v>0</v>
      </c>
      <c r="I129" s="584"/>
    </row>
    <row r="130" spans="1:9" ht="15.75">
      <c r="A130" s="545" t="s">
        <v>139</v>
      </c>
      <c r="B130" s="559" t="s">
        <v>549</v>
      </c>
      <c r="C130" s="545"/>
      <c r="D130" s="545"/>
      <c r="E130" s="545"/>
      <c r="F130" s="545"/>
      <c r="G130" s="546"/>
      <c r="H130" s="546">
        <f t="shared" si="1"/>
        <v>0</v>
      </c>
      <c r="I130" s="584"/>
    </row>
    <row r="131" spans="1:9" ht="47.25">
      <c r="A131" s="545">
        <v>1</v>
      </c>
      <c r="B131" s="549" t="s">
        <v>755</v>
      </c>
      <c r="C131" s="545"/>
      <c r="D131" s="545"/>
      <c r="E131" s="545">
        <v>3</v>
      </c>
      <c r="F131" s="545" t="s">
        <v>111</v>
      </c>
      <c r="G131" s="546">
        <f>ROUND(1.5*303000*1.22,-3)</f>
        <v>554000</v>
      </c>
      <c r="H131" s="546">
        <f t="shared" si="1"/>
        <v>1662000</v>
      </c>
      <c r="I131" s="584" t="s">
        <v>1886</v>
      </c>
    </row>
    <row r="132" spans="1:9" ht="47.25">
      <c r="A132" s="545"/>
      <c r="B132" s="549" t="s">
        <v>756</v>
      </c>
      <c r="C132" s="545"/>
      <c r="D132" s="545"/>
      <c r="E132" s="545"/>
      <c r="F132" s="545"/>
      <c r="G132" s="546"/>
      <c r="H132" s="546">
        <f t="shared" si="1"/>
        <v>0</v>
      </c>
      <c r="I132" s="584"/>
    </row>
    <row r="133" spans="1:9" ht="47.25">
      <c r="A133" s="545">
        <v>2</v>
      </c>
      <c r="B133" s="549" t="s">
        <v>757</v>
      </c>
      <c r="C133" s="545"/>
      <c r="D133" s="545"/>
      <c r="E133" s="545">
        <v>3</v>
      </c>
      <c r="F133" s="545" t="s">
        <v>111</v>
      </c>
      <c r="G133" s="546">
        <f>ROUND(1.5*0.5*303000*1.22,-3)</f>
        <v>277000</v>
      </c>
      <c r="H133" s="546">
        <f t="shared" si="1"/>
        <v>831000</v>
      </c>
      <c r="I133" s="584" t="s">
        <v>1882</v>
      </c>
    </row>
    <row r="134" spans="1:9" ht="31.5">
      <c r="A134" s="545"/>
      <c r="B134" s="549" t="s">
        <v>758</v>
      </c>
      <c r="C134" s="545"/>
      <c r="D134" s="545"/>
      <c r="E134" s="545"/>
      <c r="F134" s="545"/>
      <c r="G134" s="546"/>
      <c r="H134" s="546">
        <f t="shared" si="1"/>
        <v>0</v>
      </c>
      <c r="I134" s="584"/>
    </row>
    <row r="135" spans="1:9" ht="47.25">
      <c r="A135" s="545"/>
      <c r="B135" s="549" t="s">
        <v>759</v>
      </c>
      <c r="C135" s="545"/>
      <c r="D135" s="545"/>
      <c r="E135" s="545"/>
      <c r="F135" s="545"/>
      <c r="G135" s="546"/>
      <c r="H135" s="546">
        <f t="shared" si="1"/>
        <v>0</v>
      </c>
      <c r="I135" s="584"/>
    </row>
    <row r="136" spans="1:9" ht="47.25">
      <c r="A136" s="545"/>
      <c r="B136" s="549" t="s">
        <v>760</v>
      </c>
      <c r="C136" s="545"/>
      <c r="D136" s="545"/>
      <c r="E136" s="545"/>
      <c r="F136" s="545"/>
      <c r="G136" s="546"/>
      <c r="H136" s="546">
        <f t="shared" si="1"/>
        <v>0</v>
      </c>
      <c r="I136" s="584"/>
    </row>
    <row r="137" spans="1:9" ht="78.75">
      <c r="A137" s="545">
        <v>3</v>
      </c>
      <c r="B137" s="549" t="s">
        <v>761</v>
      </c>
      <c r="C137" s="545"/>
      <c r="D137" s="545"/>
      <c r="E137" s="545">
        <v>8.3000000000000007</v>
      </c>
      <c r="F137" s="545" t="s">
        <v>63</v>
      </c>
      <c r="G137" s="546">
        <f>ROUND(0.2*330000*1.22,-3)</f>
        <v>81000</v>
      </c>
      <c r="H137" s="546">
        <f t="shared" si="1"/>
        <v>672300</v>
      </c>
      <c r="I137" s="584" t="s">
        <v>1883</v>
      </c>
    </row>
    <row r="138" spans="1:9" ht="78.75">
      <c r="A138" s="545">
        <v>4</v>
      </c>
      <c r="B138" s="549" t="s">
        <v>762</v>
      </c>
      <c r="C138" s="545"/>
      <c r="D138" s="545"/>
      <c r="E138" s="545">
        <v>3.9</v>
      </c>
      <c r="F138" s="545" t="s">
        <v>63</v>
      </c>
      <c r="G138" s="546">
        <f>ROUND(0.35*330000*1.22,-3)</f>
        <v>141000</v>
      </c>
      <c r="H138" s="546">
        <f t="shared" si="1"/>
        <v>549900</v>
      </c>
      <c r="I138" s="584" t="s">
        <v>1883</v>
      </c>
    </row>
    <row r="139" spans="1:9" ht="78.75">
      <c r="A139" s="545">
        <v>5</v>
      </c>
      <c r="B139" s="549" t="s">
        <v>763</v>
      </c>
      <c r="C139" s="545"/>
      <c r="D139" s="545"/>
      <c r="E139" s="545">
        <v>1</v>
      </c>
      <c r="F139" s="545" t="s">
        <v>111</v>
      </c>
      <c r="G139" s="546">
        <v>975000</v>
      </c>
      <c r="H139" s="546">
        <f t="shared" si="1"/>
        <v>975000</v>
      </c>
      <c r="I139" s="584" t="s">
        <v>1877</v>
      </c>
    </row>
    <row r="140" spans="1:9" ht="15.75">
      <c r="A140" s="557" t="s">
        <v>139</v>
      </c>
      <c r="B140" s="559" t="s">
        <v>764</v>
      </c>
      <c r="C140" s="545"/>
      <c r="D140" s="545"/>
      <c r="E140" s="545"/>
      <c r="F140" s="545"/>
      <c r="G140" s="546"/>
      <c r="H140" s="546">
        <f t="shared" si="1"/>
        <v>0</v>
      </c>
      <c r="I140" s="584"/>
    </row>
    <row r="141" spans="1:9" ht="31.5">
      <c r="A141" s="545">
        <v>1</v>
      </c>
      <c r="B141" s="549" t="s">
        <v>765</v>
      </c>
      <c r="C141" s="545"/>
      <c r="D141" s="545"/>
      <c r="E141" s="545">
        <v>1.5</v>
      </c>
      <c r="F141" s="545" t="s">
        <v>63</v>
      </c>
      <c r="G141" s="546">
        <f>ROUND(0.35*330000*1.22,-3)</f>
        <v>141000</v>
      </c>
      <c r="H141" s="546">
        <f t="shared" ref="H141:H204" si="2">G141*E141</f>
        <v>211500</v>
      </c>
      <c r="I141" s="584" t="s">
        <v>1883</v>
      </c>
    </row>
    <row r="142" spans="1:9" ht="63">
      <c r="A142" s="545">
        <v>2</v>
      </c>
      <c r="B142" s="551" t="s">
        <v>766</v>
      </c>
      <c r="C142" s="545"/>
      <c r="D142" s="545"/>
      <c r="E142" s="545">
        <v>2</v>
      </c>
      <c r="F142" s="545" t="s">
        <v>111</v>
      </c>
      <c r="G142" s="546">
        <f>ROUND(10*356000*1.22,-3)</f>
        <v>4343000</v>
      </c>
      <c r="H142" s="546">
        <f t="shared" si="2"/>
        <v>8686000</v>
      </c>
      <c r="I142" s="584" t="s">
        <v>1800</v>
      </c>
    </row>
    <row r="143" spans="1:9" ht="15.75">
      <c r="A143" s="557" t="s">
        <v>139</v>
      </c>
      <c r="B143" s="555" t="s">
        <v>767</v>
      </c>
      <c r="C143" s="557"/>
      <c r="D143" s="557"/>
      <c r="E143" s="557"/>
      <c r="F143" s="557"/>
      <c r="G143" s="558"/>
      <c r="H143" s="546">
        <f t="shared" si="2"/>
        <v>0</v>
      </c>
      <c r="I143" s="586"/>
    </row>
    <row r="144" spans="1:9" ht="15.75">
      <c r="A144" s="545">
        <v>1</v>
      </c>
      <c r="B144" s="551" t="s">
        <v>768</v>
      </c>
      <c r="C144" s="545"/>
      <c r="D144" s="545"/>
      <c r="E144" s="545"/>
      <c r="F144" s="545"/>
      <c r="G144" s="546"/>
      <c r="H144" s="546">
        <f t="shared" si="2"/>
        <v>0</v>
      </c>
      <c r="I144" s="584"/>
    </row>
    <row r="145" spans="1:9" ht="47.25">
      <c r="A145" s="545" t="s">
        <v>349</v>
      </c>
      <c r="B145" s="551" t="s">
        <v>769</v>
      </c>
      <c r="C145" s="545"/>
      <c r="D145" s="545"/>
      <c r="E145" s="545">
        <v>0.3</v>
      </c>
      <c r="F145" s="545" t="s">
        <v>63</v>
      </c>
      <c r="G145" s="546">
        <f>ROUND(1.1*330000*1.22,-3)</f>
        <v>443000</v>
      </c>
      <c r="H145" s="546">
        <f t="shared" si="2"/>
        <v>132900</v>
      </c>
      <c r="I145" s="584" t="s">
        <v>1883</v>
      </c>
    </row>
    <row r="146" spans="1:9" ht="31.5">
      <c r="A146" s="545" t="s">
        <v>349</v>
      </c>
      <c r="B146" s="551" t="s">
        <v>770</v>
      </c>
      <c r="C146" s="545"/>
      <c r="D146" s="545"/>
      <c r="E146" s="545"/>
      <c r="F146" s="545"/>
      <c r="G146" s="546"/>
      <c r="H146" s="546">
        <f t="shared" si="2"/>
        <v>0</v>
      </c>
      <c r="I146" s="584"/>
    </row>
    <row r="147" spans="1:9" ht="31.5">
      <c r="A147" s="545" t="s">
        <v>349</v>
      </c>
      <c r="B147" s="551" t="s">
        <v>771</v>
      </c>
      <c r="C147" s="545"/>
      <c r="D147" s="545"/>
      <c r="E147" s="545"/>
      <c r="F147" s="545"/>
      <c r="G147" s="546"/>
      <c r="H147" s="546">
        <f t="shared" si="2"/>
        <v>0</v>
      </c>
      <c r="I147" s="584"/>
    </row>
    <row r="148" spans="1:9" ht="15.75">
      <c r="A148" s="545">
        <v>2</v>
      </c>
      <c r="B148" s="551" t="s">
        <v>772</v>
      </c>
      <c r="C148" s="545"/>
      <c r="D148" s="545"/>
      <c r="E148" s="545"/>
      <c r="F148" s="545"/>
      <c r="G148" s="546"/>
      <c r="H148" s="546">
        <f t="shared" si="2"/>
        <v>0</v>
      </c>
      <c r="I148" s="584"/>
    </row>
    <row r="149" spans="1:9" ht="47.25">
      <c r="A149" s="545" t="s">
        <v>349</v>
      </c>
      <c r="B149" s="551" t="s">
        <v>773</v>
      </c>
      <c r="C149" s="545"/>
      <c r="D149" s="545"/>
      <c r="E149" s="545">
        <v>0.6</v>
      </c>
      <c r="F149" s="545" t="s">
        <v>63</v>
      </c>
      <c r="G149" s="546">
        <f>ROUND(1.1*330000*1.22,-3)</f>
        <v>443000</v>
      </c>
      <c r="H149" s="546">
        <f t="shared" si="2"/>
        <v>265800</v>
      </c>
      <c r="I149" s="584" t="s">
        <v>1883</v>
      </c>
    </row>
    <row r="150" spans="1:9" ht="31.5">
      <c r="A150" s="545" t="s">
        <v>349</v>
      </c>
      <c r="B150" s="551" t="s">
        <v>770</v>
      </c>
      <c r="C150" s="545"/>
      <c r="D150" s="545"/>
      <c r="E150" s="545"/>
      <c r="F150" s="545"/>
      <c r="G150" s="546"/>
      <c r="H150" s="546">
        <f t="shared" si="2"/>
        <v>0</v>
      </c>
      <c r="I150" s="584"/>
    </row>
    <row r="151" spans="1:9" ht="31.5">
      <c r="A151" s="545" t="s">
        <v>349</v>
      </c>
      <c r="B151" s="551" t="s">
        <v>771</v>
      </c>
      <c r="C151" s="545"/>
      <c r="D151" s="545"/>
      <c r="E151" s="545"/>
      <c r="F151" s="545"/>
      <c r="G151" s="546"/>
      <c r="H151" s="546">
        <f t="shared" si="2"/>
        <v>0</v>
      </c>
      <c r="I151" s="584"/>
    </row>
    <row r="152" spans="1:9" ht="15.75">
      <c r="A152" s="557" t="s">
        <v>139</v>
      </c>
      <c r="B152" s="555" t="s">
        <v>774</v>
      </c>
      <c r="C152" s="557"/>
      <c r="D152" s="557"/>
      <c r="E152" s="557"/>
      <c r="F152" s="557"/>
      <c r="G152" s="558"/>
      <c r="H152" s="546">
        <f t="shared" si="2"/>
        <v>0</v>
      </c>
      <c r="I152" s="586"/>
    </row>
    <row r="153" spans="1:9" ht="15.75">
      <c r="A153" s="545">
        <v>1</v>
      </c>
      <c r="B153" s="551" t="s">
        <v>772</v>
      </c>
      <c r="C153" s="545"/>
      <c r="D153" s="545"/>
      <c r="E153" s="545"/>
      <c r="F153" s="545"/>
      <c r="G153" s="546"/>
      <c r="H153" s="546">
        <f t="shared" si="2"/>
        <v>0</v>
      </c>
      <c r="I153" s="584"/>
    </row>
    <row r="154" spans="1:9" ht="63">
      <c r="A154" s="545" t="s">
        <v>349</v>
      </c>
      <c r="B154" s="551" t="s">
        <v>775</v>
      </c>
      <c r="C154" s="545"/>
      <c r="D154" s="545"/>
      <c r="E154" s="545">
        <v>0.8</v>
      </c>
      <c r="F154" s="545" t="s">
        <v>63</v>
      </c>
      <c r="G154" s="546">
        <f>ROUND(1.1*330000*1.22,-3)</f>
        <v>443000</v>
      </c>
      <c r="H154" s="546">
        <f t="shared" si="2"/>
        <v>354400</v>
      </c>
      <c r="I154" s="584" t="s">
        <v>1883</v>
      </c>
    </row>
    <row r="155" spans="1:9" ht="31.5">
      <c r="A155" s="545" t="s">
        <v>349</v>
      </c>
      <c r="B155" s="551" t="s">
        <v>776</v>
      </c>
      <c r="C155" s="545"/>
      <c r="D155" s="545"/>
      <c r="E155" s="545">
        <v>0.5</v>
      </c>
      <c r="F155" s="545" t="s">
        <v>63</v>
      </c>
      <c r="G155" s="546">
        <f>ROUND(1.1*330000*1.22,-3)</f>
        <v>443000</v>
      </c>
      <c r="H155" s="546">
        <f t="shared" si="2"/>
        <v>221500</v>
      </c>
      <c r="I155" s="584" t="s">
        <v>1883</v>
      </c>
    </row>
    <row r="156" spans="1:9" ht="31.5">
      <c r="A156" s="545" t="s">
        <v>349</v>
      </c>
      <c r="B156" s="551" t="s">
        <v>777</v>
      </c>
      <c r="C156" s="545"/>
      <c r="D156" s="545"/>
      <c r="E156" s="545"/>
      <c r="F156" s="545"/>
      <c r="G156" s="546"/>
      <c r="H156" s="546">
        <f t="shared" si="2"/>
        <v>0</v>
      </c>
      <c r="I156" s="584"/>
    </row>
    <row r="157" spans="1:9" ht="15.75">
      <c r="A157" s="561" t="s">
        <v>139</v>
      </c>
      <c r="B157" s="555" t="s">
        <v>778</v>
      </c>
      <c r="C157" s="561"/>
      <c r="D157" s="561"/>
      <c r="E157" s="561"/>
      <c r="F157" s="561"/>
      <c r="G157" s="562"/>
      <c r="H157" s="546">
        <f t="shared" si="2"/>
        <v>0</v>
      </c>
      <c r="I157" s="587"/>
    </row>
    <row r="158" spans="1:9" ht="15.75">
      <c r="A158" s="545">
        <v>1</v>
      </c>
      <c r="B158" s="551" t="s">
        <v>779</v>
      </c>
      <c r="C158" s="545"/>
      <c r="D158" s="545"/>
      <c r="E158" s="545"/>
      <c r="F158" s="545"/>
      <c r="G158" s="546"/>
      <c r="H158" s="546">
        <f t="shared" si="2"/>
        <v>0</v>
      </c>
      <c r="I158" s="584"/>
    </row>
    <row r="159" spans="1:9" ht="47.25">
      <c r="A159" s="545" t="s">
        <v>349</v>
      </c>
      <c r="B159" s="551" t="s">
        <v>780</v>
      </c>
      <c r="C159" s="545"/>
      <c r="D159" s="545"/>
      <c r="E159" s="545">
        <v>2.2999999999999998</v>
      </c>
      <c r="F159" s="545" t="s">
        <v>63</v>
      </c>
      <c r="G159" s="546">
        <f>ROUND(1.1*330000*1.22,-3)</f>
        <v>443000</v>
      </c>
      <c r="H159" s="546">
        <f t="shared" si="2"/>
        <v>1018899.9999999999</v>
      </c>
      <c r="I159" s="584" t="s">
        <v>1883</v>
      </c>
    </row>
    <row r="160" spans="1:9" ht="31.5">
      <c r="A160" s="545"/>
      <c r="B160" s="551" t="s">
        <v>781</v>
      </c>
      <c r="C160" s="545"/>
      <c r="D160" s="545"/>
      <c r="E160" s="545"/>
      <c r="F160" s="545"/>
      <c r="G160" s="546"/>
      <c r="H160" s="546">
        <f t="shared" si="2"/>
        <v>0</v>
      </c>
      <c r="I160" s="584"/>
    </row>
    <row r="161" spans="1:9" ht="47.25">
      <c r="A161" s="545" t="s">
        <v>349</v>
      </c>
      <c r="B161" s="551" t="s">
        <v>782</v>
      </c>
      <c r="C161" s="545"/>
      <c r="D161" s="545"/>
      <c r="E161" s="545">
        <v>2.7</v>
      </c>
      <c r="F161" s="545" t="s">
        <v>63</v>
      </c>
      <c r="G161" s="546">
        <f>ROUND(1.1*330000*1.22,-3)</f>
        <v>443000</v>
      </c>
      <c r="H161" s="546">
        <f t="shared" si="2"/>
        <v>1196100</v>
      </c>
      <c r="I161" s="584" t="s">
        <v>1883</v>
      </c>
    </row>
    <row r="162" spans="1:9" ht="47.25">
      <c r="A162" s="545"/>
      <c r="B162" s="551" t="s">
        <v>783</v>
      </c>
      <c r="C162" s="545"/>
      <c r="D162" s="545"/>
      <c r="E162" s="545"/>
      <c r="F162" s="545"/>
      <c r="G162" s="546"/>
      <c r="H162" s="546">
        <f t="shared" si="2"/>
        <v>0</v>
      </c>
      <c r="I162" s="584"/>
    </row>
    <row r="163" spans="1:9" ht="15.75">
      <c r="A163" s="561" t="s">
        <v>139</v>
      </c>
      <c r="B163" s="555" t="s">
        <v>784</v>
      </c>
      <c r="C163" s="561"/>
      <c r="D163" s="561"/>
      <c r="E163" s="561"/>
      <c r="F163" s="561"/>
      <c r="G163" s="562"/>
      <c r="H163" s="546">
        <f t="shared" si="2"/>
        <v>0</v>
      </c>
      <c r="I163" s="587"/>
    </row>
    <row r="164" spans="1:9" ht="15.75">
      <c r="A164" s="545">
        <v>1</v>
      </c>
      <c r="B164" s="551" t="s">
        <v>785</v>
      </c>
      <c r="C164" s="545"/>
      <c r="D164" s="545"/>
      <c r="E164" s="545"/>
      <c r="F164" s="545"/>
      <c r="G164" s="546"/>
      <c r="H164" s="546">
        <f t="shared" si="2"/>
        <v>0</v>
      </c>
      <c r="I164" s="584"/>
    </row>
    <row r="165" spans="1:9" ht="47.25">
      <c r="A165" s="545" t="s">
        <v>349</v>
      </c>
      <c r="B165" s="551" t="s">
        <v>786</v>
      </c>
      <c r="C165" s="545"/>
      <c r="D165" s="545"/>
      <c r="E165" s="545">
        <v>1.3</v>
      </c>
      <c r="F165" s="545" t="s">
        <v>63</v>
      </c>
      <c r="G165" s="546">
        <f>ROUND(1.1*330000*1.22*1.1,-3)</f>
        <v>487000</v>
      </c>
      <c r="H165" s="546">
        <f t="shared" si="2"/>
        <v>633100</v>
      </c>
      <c r="I165" s="584" t="s">
        <v>1883</v>
      </c>
    </row>
    <row r="166" spans="1:9" ht="47.25">
      <c r="A166" s="545" t="s">
        <v>349</v>
      </c>
      <c r="B166" s="551" t="s">
        <v>787</v>
      </c>
      <c r="C166" s="545"/>
      <c r="D166" s="545"/>
      <c r="E166" s="545"/>
      <c r="F166" s="545"/>
      <c r="G166" s="546"/>
      <c r="H166" s="546">
        <f t="shared" si="2"/>
        <v>0</v>
      </c>
      <c r="I166" s="584"/>
    </row>
    <row r="167" spans="1:9" ht="15.75">
      <c r="A167" s="561" t="s">
        <v>139</v>
      </c>
      <c r="B167" s="555" t="s">
        <v>788</v>
      </c>
      <c r="C167" s="561"/>
      <c r="D167" s="561"/>
      <c r="E167" s="561"/>
      <c r="F167" s="561"/>
      <c r="G167" s="562"/>
      <c r="H167" s="546">
        <f t="shared" si="2"/>
        <v>0</v>
      </c>
      <c r="I167" s="587"/>
    </row>
    <row r="168" spans="1:9" ht="31.5">
      <c r="A168" s="545">
        <v>1</v>
      </c>
      <c r="B168" s="551" t="s">
        <v>789</v>
      </c>
      <c r="C168" s="545"/>
      <c r="D168" s="545"/>
      <c r="E168" s="545">
        <v>2</v>
      </c>
      <c r="F168" s="545" t="s">
        <v>111</v>
      </c>
      <c r="G168" s="546">
        <v>975000</v>
      </c>
      <c r="H168" s="546">
        <f t="shared" si="2"/>
        <v>1950000</v>
      </c>
      <c r="I168" s="584" t="s">
        <v>1877</v>
      </c>
    </row>
    <row r="169" spans="1:9" ht="15.75">
      <c r="A169" s="561" t="s">
        <v>139</v>
      </c>
      <c r="B169" s="555" t="s">
        <v>790</v>
      </c>
      <c r="C169" s="561"/>
      <c r="D169" s="561"/>
      <c r="E169" s="561"/>
      <c r="F169" s="561"/>
      <c r="G169" s="562"/>
      <c r="H169" s="546">
        <f t="shared" si="2"/>
        <v>0</v>
      </c>
      <c r="I169" s="587"/>
    </row>
    <row r="170" spans="1:9" ht="31.5">
      <c r="A170" s="545">
        <v>1</v>
      </c>
      <c r="B170" s="551" t="s">
        <v>789</v>
      </c>
      <c r="C170" s="545"/>
      <c r="D170" s="545"/>
      <c r="E170" s="545">
        <v>2</v>
      </c>
      <c r="F170" s="545" t="s">
        <v>111</v>
      </c>
      <c r="G170" s="546">
        <v>975000</v>
      </c>
      <c r="H170" s="546">
        <f t="shared" si="2"/>
        <v>1950000</v>
      </c>
      <c r="I170" s="584" t="s">
        <v>1877</v>
      </c>
    </row>
    <row r="171" spans="1:9" ht="15.75">
      <c r="A171" s="561" t="s">
        <v>139</v>
      </c>
      <c r="B171" s="555" t="s">
        <v>791</v>
      </c>
      <c r="C171" s="561"/>
      <c r="D171" s="561"/>
      <c r="E171" s="561"/>
      <c r="F171" s="561"/>
      <c r="G171" s="562"/>
      <c r="H171" s="546">
        <f t="shared" si="2"/>
        <v>0</v>
      </c>
      <c r="I171" s="587"/>
    </row>
    <row r="172" spans="1:9" ht="31.5">
      <c r="A172" s="545">
        <v>1</v>
      </c>
      <c r="B172" s="551" t="s">
        <v>792</v>
      </c>
      <c r="C172" s="545"/>
      <c r="D172" s="545"/>
      <c r="E172" s="545">
        <v>1</v>
      </c>
      <c r="F172" s="545" t="s">
        <v>111</v>
      </c>
      <c r="G172" s="546">
        <v>975000</v>
      </c>
      <c r="H172" s="546">
        <f t="shared" si="2"/>
        <v>975000</v>
      </c>
      <c r="I172" s="584" t="s">
        <v>1877</v>
      </c>
    </row>
    <row r="173" spans="1:9" ht="15.75">
      <c r="A173" s="545">
        <v>2</v>
      </c>
      <c r="B173" s="551" t="s">
        <v>793</v>
      </c>
      <c r="C173" s="545"/>
      <c r="D173" s="545"/>
      <c r="E173" s="545">
        <v>1</v>
      </c>
      <c r="F173" s="545" t="s">
        <v>111</v>
      </c>
      <c r="G173" s="546">
        <v>975000</v>
      </c>
      <c r="H173" s="546">
        <f t="shared" si="2"/>
        <v>975000</v>
      </c>
      <c r="I173" s="584" t="s">
        <v>1877</v>
      </c>
    </row>
    <row r="174" spans="1:9" ht="15.75">
      <c r="A174" s="542" t="s">
        <v>153</v>
      </c>
      <c r="B174" s="543" t="s">
        <v>154</v>
      </c>
      <c r="C174" s="545"/>
      <c r="D174" s="545"/>
      <c r="E174" s="545"/>
      <c r="F174" s="545"/>
      <c r="G174" s="546"/>
      <c r="H174" s="546">
        <f t="shared" si="2"/>
        <v>0</v>
      </c>
      <c r="I174" s="584"/>
    </row>
    <row r="175" spans="1:9" ht="15.75">
      <c r="A175" s="542" t="s">
        <v>139</v>
      </c>
      <c r="B175" s="543" t="s">
        <v>155</v>
      </c>
      <c r="C175" s="542"/>
      <c r="D175" s="542"/>
      <c r="E175" s="542">
        <v>3</v>
      </c>
      <c r="F175" s="542" t="s">
        <v>123</v>
      </c>
      <c r="G175" s="563"/>
      <c r="H175" s="546">
        <f t="shared" si="2"/>
        <v>0</v>
      </c>
      <c r="I175" s="588"/>
    </row>
    <row r="176" spans="1:9" ht="31.5">
      <c r="A176" s="545">
        <v>1</v>
      </c>
      <c r="B176" s="549" t="s">
        <v>794</v>
      </c>
      <c r="C176" s="545"/>
      <c r="D176" s="545"/>
      <c r="E176" s="545">
        <v>3</v>
      </c>
      <c r="F176" s="545" t="s">
        <v>123</v>
      </c>
      <c r="G176" s="546">
        <f>ROUND(4*356000,-3)</f>
        <v>1424000</v>
      </c>
      <c r="H176" s="546">
        <f t="shared" si="2"/>
        <v>4272000</v>
      </c>
      <c r="I176" s="584" t="s">
        <v>1887</v>
      </c>
    </row>
    <row r="177" spans="1:9" ht="31.5">
      <c r="A177" s="545">
        <v>2</v>
      </c>
      <c r="B177" s="549" t="s">
        <v>795</v>
      </c>
      <c r="C177" s="545"/>
      <c r="D177" s="545"/>
      <c r="E177" s="545">
        <v>3</v>
      </c>
      <c r="F177" s="545" t="s">
        <v>796</v>
      </c>
      <c r="G177" s="546">
        <f>ROUND(6*330000,-3)</f>
        <v>1980000</v>
      </c>
      <c r="H177" s="546">
        <f t="shared" si="2"/>
        <v>5940000</v>
      </c>
      <c r="I177" s="584" t="s">
        <v>1803</v>
      </c>
    </row>
    <row r="178" spans="1:9" ht="31.5">
      <c r="A178" s="545">
        <v>3</v>
      </c>
      <c r="B178" s="549" t="s">
        <v>797</v>
      </c>
      <c r="C178" s="545"/>
      <c r="D178" s="545"/>
      <c r="E178" s="545">
        <v>3</v>
      </c>
      <c r="F178" s="545" t="s">
        <v>123</v>
      </c>
      <c r="G178" s="546">
        <f>ROUND(1.5*303000*1.22,-3)</f>
        <v>554000</v>
      </c>
      <c r="H178" s="546">
        <f t="shared" si="2"/>
        <v>1662000</v>
      </c>
      <c r="I178" s="584" t="s">
        <v>1888</v>
      </c>
    </row>
    <row r="179" spans="1:9" ht="141.75">
      <c r="A179" s="545">
        <v>4</v>
      </c>
      <c r="B179" s="549" t="s">
        <v>798</v>
      </c>
      <c r="C179" s="545"/>
      <c r="D179" s="545"/>
      <c r="E179" s="545">
        <v>3</v>
      </c>
      <c r="F179" s="545" t="s">
        <v>111</v>
      </c>
      <c r="G179" s="546">
        <f>ROUND(20*330000*0.85,-3)</f>
        <v>5610000</v>
      </c>
      <c r="H179" s="546">
        <f t="shared" si="2"/>
        <v>16830000</v>
      </c>
      <c r="I179" s="584" t="s">
        <v>1889</v>
      </c>
    </row>
    <row r="180" spans="1:9" ht="63">
      <c r="A180" s="545">
        <v>5</v>
      </c>
      <c r="B180" s="549" t="s">
        <v>799</v>
      </c>
      <c r="C180" s="545"/>
      <c r="D180" s="545"/>
      <c r="E180" s="545">
        <v>16</v>
      </c>
      <c r="F180" s="545" t="s">
        <v>146</v>
      </c>
      <c r="G180" s="546">
        <f>ROUND((12+40)/8*182000/16,-3)</f>
        <v>74000</v>
      </c>
      <c r="H180" s="546">
        <f t="shared" si="2"/>
        <v>1184000</v>
      </c>
      <c r="I180" s="584" t="s">
        <v>1803</v>
      </c>
    </row>
    <row r="181" spans="1:9" ht="15.75">
      <c r="A181" s="542" t="s">
        <v>297</v>
      </c>
      <c r="B181" s="552" t="s">
        <v>800</v>
      </c>
      <c r="C181" s="542"/>
      <c r="D181" s="542"/>
      <c r="E181" s="542"/>
      <c r="F181" s="545"/>
      <c r="G181" s="546"/>
      <c r="H181" s="546">
        <f t="shared" si="2"/>
        <v>0</v>
      </c>
      <c r="I181" s="584"/>
    </row>
    <row r="182" spans="1:9" ht="31.5">
      <c r="A182" s="542"/>
      <c r="B182" s="552" t="s">
        <v>801</v>
      </c>
      <c r="C182" s="561"/>
      <c r="D182" s="561"/>
      <c r="E182" s="561"/>
      <c r="F182" s="542"/>
      <c r="G182" s="563"/>
      <c r="H182" s="546">
        <f t="shared" si="2"/>
        <v>0</v>
      </c>
      <c r="I182" s="588"/>
    </row>
    <row r="183" spans="1:9" ht="141.75">
      <c r="A183" s="545">
        <v>1</v>
      </c>
      <c r="B183" s="551" t="s">
        <v>802</v>
      </c>
      <c r="C183" s="545"/>
      <c r="D183" s="545"/>
      <c r="E183" s="545">
        <v>2</v>
      </c>
      <c r="F183" s="545" t="s">
        <v>142</v>
      </c>
      <c r="G183" s="546">
        <v>1200000</v>
      </c>
      <c r="H183" s="546">
        <f t="shared" si="2"/>
        <v>2400000</v>
      </c>
      <c r="I183" s="584"/>
    </row>
    <row r="184" spans="1:9" ht="126">
      <c r="A184" s="545">
        <v>2</v>
      </c>
      <c r="B184" s="551" t="s">
        <v>803</v>
      </c>
      <c r="C184" s="545"/>
      <c r="D184" s="545"/>
      <c r="E184" s="545">
        <v>2</v>
      </c>
      <c r="F184" s="545" t="s">
        <v>142</v>
      </c>
      <c r="G184" s="546">
        <v>1200000</v>
      </c>
      <c r="H184" s="546">
        <f t="shared" si="2"/>
        <v>2400000</v>
      </c>
      <c r="I184" s="584"/>
    </row>
    <row r="185" spans="1:9" ht="47.25">
      <c r="A185" s="545">
        <v>3</v>
      </c>
      <c r="B185" s="551" t="s">
        <v>804</v>
      </c>
      <c r="C185" s="545"/>
      <c r="D185" s="545"/>
      <c r="E185" s="545">
        <v>3</v>
      </c>
      <c r="F185" s="545" t="s">
        <v>142</v>
      </c>
      <c r="G185" s="546">
        <v>1200000</v>
      </c>
      <c r="H185" s="546">
        <f t="shared" si="2"/>
        <v>3600000</v>
      </c>
      <c r="I185" s="584"/>
    </row>
    <row r="186" spans="1:9" ht="126">
      <c r="A186" s="545">
        <v>4</v>
      </c>
      <c r="B186" s="551" t="s">
        <v>805</v>
      </c>
      <c r="C186" s="545"/>
      <c r="D186" s="545"/>
      <c r="E186" s="545">
        <v>2</v>
      </c>
      <c r="F186" s="545" t="s">
        <v>142</v>
      </c>
      <c r="G186" s="546">
        <v>1200000</v>
      </c>
      <c r="H186" s="546">
        <f t="shared" si="2"/>
        <v>2400000</v>
      </c>
      <c r="I186" s="584"/>
    </row>
    <row r="187" spans="1:9" ht="63">
      <c r="A187" s="545">
        <v>5</v>
      </c>
      <c r="B187" s="551" t="s">
        <v>806</v>
      </c>
      <c r="C187" s="545"/>
      <c r="D187" s="545"/>
      <c r="E187" s="545">
        <v>2</v>
      </c>
      <c r="F187" s="545" t="s">
        <v>142</v>
      </c>
      <c r="G187" s="546">
        <v>1200000</v>
      </c>
      <c r="H187" s="546">
        <f t="shared" si="2"/>
        <v>2400000</v>
      </c>
      <c r="I187" s="584"/>
    </row>
    <row r="188" spans="1:9" ht="126">
      <c r="A188" s="545">
        <v>6</v>
      </c>
      <c r="B188" s="551" t="s">
        <v>807</v>
      </c>
      <c r="C188" s="545"/>
      <c r="D188" s="545"/>
      <c r="E188" s="545">
        <v>2</v>
      </c>
      <c r="F188" s="545" t="s">
        <v>142</v>
      </c>
      <c r="G188" s="546">
        <v>1200000</v>
      </c>
      <c r="H188" s="546">
        <f t="shared" si="2"/>
        <v>2400000</v>
      </c>
      <c r="I188" s="584"/>
    </row>
    <row r="189" spans="1:9" ht="15.75">
      <c r="A189" s="542" t="s">
        <v>37</v>
      </c>
      <c r="B189" s="552" t="s">
        <v>1647</v>
      </c>
      <c r="C189" s="542"/>
      <c r="D189" s="542"/>
      <c r="E189" s="542"/>
      <c r="F189" s="542"/>
      <c r="G189" s="563"/>
      <c r="H189" s="546">
        <f t="shared" si="2"/>
        <v>0</v>
      </c>
      <c r="I189" s="588"/>
    </row>
    <row r="190" spans="1:9" ht="15.75">
      <c r="A190" s="542" t="s">
        <v>89</v>
      </c>
      <c r="B190" s="552" t="s">
        <v>808</v>
      </c>
      <c r="C190" s="542"/>
      <c r="D190" s="542"/>
      <c r="E190" s="542"/>
      <c r="F190" s="542"/>
      <c r="G190" s="563"/>
      <c r="H190" s="546">
        <f t="shared" si="2"/>
        <v>0</v>
      </c>
      <c r="I190" s="542"/>
    </row>
    <row r="191" spans="1:9" ht="15.75">
      <c r="A191" s="545">
        <v>1</v>
      </c>
      <c r="B191" s="551" t="s">
        <v>809</v>
      </c>
      <c r="C191" s="545"/>
      <c r="D191" s="545"/>
      <c r="E191" s="545"/>
      <c r="F191" s="545"/>
      <c r="G191" s="546"/>
      <c r="H191" s="546">
        <f t="shared" si="2"/>
        <v>0</v>
      </c>
      <c r="I191" s="545"/>
    </row>
    <row r="192" spans="1:9" ht="31.5">
      <c r="A192" s="545"/>
      <c r="B192" s="551" t="s">
        <v>810</v>
      </c>
      <c r="C192" s="545" t="s">
        <v>811</v>
      </c>
      <c r="D192" s="545" t="s">
        <v>812</v>
      </c>
      <c r="E192" s="545">
        <f>105-99.7</f>
        <v>5.2999999999999972</v>
      </c>
      <c r="F192" s="545" t="s">
        <v>170</v>
      </c>
      <c r="G192" s="546">
        <v>191000</v>
      </c>
      <c r="H192" s="546">
        <f t="shared" si="2"/>
        <v>1012299.9999999994</v>
      </c>
      <c r="I192" s="584"/>
    </row>
    <row r="193" spans="1:9" ht="31.5">
      <c r="A193" s="545"/>
      <c r="B193" s="551" t="s">
        <v>813</v>
      </c>
      <c r="C193" s="545" t="s">
        <v>814</v>
      </c>
      <c r="D193" s="545" t="s">
        <v>812</v>
      </c>
      <c r="E193" s="545">
        <f>65-63</f>
        <v>2</v>
      </c>
      <c r="F193" s="545" t="s">
        <v>170</v>
      </c>
      <c r="G193" s="546">
        <v>165000</v>
      </c>
      <c r="H193" s="546">
        <f t="shared" si="2"/>
        <v>330000</v>
      </c>
      <c r="I193" s="584"/>
    </row>
    <row r="194" spans="1:9" ht="31.5">
      <c r="A194" s="545"/>
      <c r="B194" s="551" t="s">
        <v>815</v>
      </c>
      <c r="C194" s="545" t="s">
        <v>816</v>
      </c>
      <c r="D194" s="545" t="s">
        <v>812</v>
      </c>
      <c r="E194" s="545">
        <f>80-78.5</f>
        <v>1.5</v>
      </c>
      <c r="F194" s="545" t="s">
        <v>170</v>
      </c>
      <c r="G194" s="546">
        <v>743000</v>
      </c>
      <c r="H194" s="546">
        <f t="shared" si="2"/>
        <v>1114500</v>
      </c>
      <c r="I194" s="584"/>
    </row>
    <row r="195" spans="1:9" ht="31.5">
      <c r="A195" s="545"/>
      <c r="B195" s="551" t="s">
        <v>182</v>
      </c>
      <c r="C195" s="545" t="s">
        <v>817</v>
      </c>
      <c r="D195" s="545" t="s">
        <v>812</v>
      </c>
      <c r="E195" s="545">
        <f>20-5</f>
        <v>15</v>
      </c>
      <c r="F195" s="545" t="s">
        <v>170</v>
      </c>
      <c r="G195" s="546">
        <v>80000</v>
      </c>
      <c r="H195" s="546">
        <f t="shared" si="2"/>
        <v>1200000</v>
      </c>
      <c r="I195" s="584"/>
    </row>
    <row r="196" spans="1:9" ht="31.5">
      <c r="A196" s="545"/>
      <c r="B196" s="551" t="s">
        <v>818</v>
      </c>
      <c r="C196" s="545" t="s">
        <v>819</v>
      </c>
      <c r="D196" s="545" t="s">
        <v>812</v>
      </c>
      <c r="E196" s="545">
        <f>35-31.4</f>
        <v>3.6000000000000014</v>
      </c>
      <c r="F196" s="545" t="s">
        <v>170</v>
      </c>
      <c r="G196" s="546">
        <v>225000</v>
      </c>
      <c r="H196" s="546">
        <f t="shared" si="2"/>
        <v>810000.00000000035</v>
      </c>
      <c r="I196" s="584"/>
    </row>
    <row r="197" spans="1:9" ht="31.5">
      <c r="A197" s="545"/>
      <c r="B197" s="551" t="s">
        <v>182</v>
      </c>
      <c r="C197" s="545" t="s">
        <v>820</v>
      </c>
      <c r="D197" s="545" t="s">
        <v>812</v>
      </c>
      <c r="E197" s="545">
        <f>10-5</f>
        <v>5</v>
      </c>
      <c r="F197" s="545" t="s">
        <v>170</v>
      </c>
      <c r="G197" s="546">
        <v>85000</v>
      </c>
      <c r="H197" s="546">
        <f t="shared" si="2"/>
        <v>425000</v>
      </c>
      <c r="I197" s="584"/>
    </row>
    <row r="198" spans="1:9" ht="31.5">
      <c r="A198" s="545">
        <v>3</v>
      </c>
      <c r="B198" s="551" t="s">
        <v>821</v>
      </c>
      <c r="C198" s="545"/>
      <c r="D198" s="545"/>
      <c r="E198" s="545"/>
      <c r="F198" s="545"/>
      <c r="G198" s="546"/>
      <c r="H198" s="546">
        <f t="shared" si="2"/>
        <v>0</v>
      </c>
      <c r="I198" s="545"/>
    </row>
    <row r="199" spans="1:9" ht="31.5">
      <c r="A199" s="545"/>
      <c r="B199" s="551" t="s">
        <v>182</v>
      </c>
      <c r="C199" s="545" t="s">
        <v>822</v>
      </c>
      <c r="D199" s="545" t="s">
        <v>812</v>
      </c>
      <c r="E199" s="545">
        <v>5</v>
      </c>
      <c r="F199" s="545" t="s">
        <v>170</v>
      </c>
      <c r="G199" s="546">
        <v>225000</v>
      </c>
      <c r="H199" s="546">
        <f t="shared" si="2"/>
        <v>1125000</v>
      </c>
      <c r="I199" s="584"/>
    </row>
    <row r="200" spans="1:9" ht="31.5">
      <c r="A200" s="545"/>
      <c r="B200" s="551" t="s">
        <v>182</v>
      </c>
      <c r="C200" s="545" t="s">
        <v>823</v>
      </c>
      <c r="D200" s="545" t="s">
        <v>812</v>
      </c>
      <c r="E200" s="545">
        <v>5</v>
      </c>
      <c r="F200" s="545" t="s">
        <v>170</v>
      </c>
      <c r="G200" s="546">
        <v>295000</v>
      </c>
      <c r="H200" s="546">
        <f t="shared" si="2"/>
        <v>1475000</v>
      </c>
      <c r="I200" s="584"/>
    </row>
    <row r="201" spans="1:9" ht="31.5">
      <c r="A201" s="545"/>
      <c r="B201" s="551" t="s">
        <v>182</v>
      </c>
      <c r="C201" s="545" t="s">
        <v>824</v>
      </c>
      <c r="D201" s="545" t="s">
        <v>812</v>
      </c>
      <c r="E201" s="545">
        <v>5</v>
      </c>
      <c r="F201" s="545" t="s">
        <v>170</v>
      </c>
      <c r="G201" s="546">
        <v>457000</v>
      </c>
      <c r="H201" s="546">
        <f t="shared" si="2"/>
        <v>2285000</v>
      </c>
      <c r="I201" s="584"/>
    </row>
    <row r="202" spans="1:9" ht="31.5">
      <c r="A202" s="545">
        <v>4</v>
      </c>
      <c r="B202" s="551" t="s">
        <v>825</v>
      </c>
      <c r="C202" s="545"/>
      <c r="D202" s="545"/>
      <c r="E202" s="545"/>
      <c r="F202" s="545"/>
      <c r="G202" s="546"/>
      <c r="H202" s="546">
        <f t="shared" si="2"/>
        <v>0</v>
      </c>
      <c r="I202" s="545"/>
    </row>
    <row r="203" spans="1:9" ht="31.5">
      <c r="A203" s="545"/>
      <c r="B203" s="551" t="s">
        <v>826</v>
      </c>
      <c r="C203" s="545" t="s">
        <v>827</v>
      </c>
      <c r="D203" s="545" t="s">
        <v>812</v>
      </c>
      <c r="E203" s="545">
        <v>40</v>
      </c>
      <c r="F203" s="545" t="s">
        <v>170</v>
      </c>
      <c r="G203" s="546">
        <v>150000</v>
      </c>
      <c r="H203" s="546">
        <f t="shared" si="2"/>
        <v>6000000</v>
      </c>
      <c r="I203" s="584"/>
    </row>
    <row r="204" spans="1:9" ht="31.5">
      <c r="A204" s="542" t="s">
        <v>101</v>
      </c>
      <c r="B204" s="552" t="s">
        <v>658</v>
      </c>
      <c r="C204" s="542"/>
      <c r="D204" s="542"/>
      <c r="E204" s="542"/>
      <c r="F204" s="542"/>
      <c r="G204" s="563"/>
      <c r="H204" s="546">
        <f t="shared" si="2"/>
        <v>0</v>
      </c>
      <c r="I204" s="542"/>
    </row>
    <row r="205" spans="1:9" ht="15.75">
      <c r="A205" s="545">
        <v>1</v>
      </c>
      <c r="B205" s="551" t="s">
        <v>659</v>
      </c>
      <c r="C205" s="545"/>
      <c r="D205" s="545"/>
      <c r="E205" s="545"/>
      <c r="F205" s="545"/>
      <c r="G205" s="546"/>
      <c r="H205" s="546">
        <f t="shared" ref="H205:H268" si="3">G205*E205</f>
        <v>0</v>
      </c>
      <c r="I205" s="545"/>
    </row>
    <row r="206" spans="1:9" ht="15.75">
      <c r="A206" s="545"/>
      <c r="B206" s="549" t="s">
        <v>828</v>
      </c>
      <c r="C206" s="548" t="s">
        <v>829</v>
      </c>
      <c r="D206" s="545" t="s">
        <v>39</v>
      </c>
      <c r="E206" s="548">
        <v>4</v>
      </c>
      <c r="F206" s="545" t="s">
        <v>106</v>
      </c>
      <c r="G206" s="546">
        <v>1116500</v>
      </c>
      <c r="H206" s="546">
        <f t="shared" si="3"/>
        <v>4466000</v>
      </c>
      <c r="I206" s="584"/>
    </row>
    <row r="207" spans="1:9" ht="15.75">
      <c r="A207" s="545"/>
      <c r="B207" s="549" t="s">
        <v>830</v>
      </c>
      <c r="C207" s="548" t="s">
        <v>831</v>
      </c>
      <c r="D207" s="545" t="s">
        <v>39</v>
      </c>
      <c r="E207" s="548">
        <v>2</v>
      </c>
      <c r="F207" s="545" t="s">
        <v>106</v>
      </c>
      <c r="G207" s="546">
        <v>3298900.0000000005</v>
      </c>
      <c r="H207" s="546">
        <f t="shared" si="3"/>
        <v>6597800.0000000009</v>
      </c>
      <c r="I207" s="584"/>
    </row>
    <row r="208" spans="1:9" ht="15.75">
      <c r="A208" s="545"/>
      <c r="B208" s="549" t="s">
        <v>832</v>
      </c>
      <c r="C208" s="548" t="s">
        <v>833</v>
      </c>
      <c r="D208" s="545" t="s">
        <v>39</v>
      </c>
      <c r="E208" s="548">
        <v>1</v>
      </c>
      <c r="F208" s="545" t="s">
        <v>106</v>
      </c>
      <c r="G208" s="546">
        <v>3614600.0000000005</v>
      </c>
      <c r="H208" s="546">
        <f t="shared" si="3"/>
        <v>3614600.0000000005</v>
      </c>
      <c r="I208" s="584"/>
    </row>
    <row r="209" spans="1:9" ht="15.75">
      <c r="A209" s="545"/>
      <c r="B209" s="549" t="s">
        <v>834</v>
      </c>
      <c r="C209" s="548" t="s">
        <v>835</v>
      </c>
      <c r="D209" s="545" t="s">
        <v>39</v>
      </c>
      <c r="E209" s="548">
        <v>18</v>
      </c>
      <c r="F209" s="545" t="s">
        <v>106</v>
      </c>
      <c r="G209" s="546">
        <v>617100</v>
      </c>
      <c r="H209" s="546">
        <f t="shared" si="3"/>
        <v>11107800</v>
      </c>
      <c r="I209" s="584"/>
    </row>
    <row r="210" spans="1:9" ht="15.75">
      <c r="A210" s="545"/>
      <c r="B210" s="551" t="s">
        <v>836</v>
      </c>
      <c r="C210" s="545" t="s">
        <v>837</v>
      </c>
      <c r="D210" s="545" t="s">
        <v>39</v>
      </c>
      <c r="E210" s="545">
        <v>40</v>
      </c>
      <c r="F210" s="545" t="s">
        <v>146</v>
      </c>
      <c r="G210" s="546">
        <v>10500</v>
      </c>
      <c r="H210" s="546">
        <f t="shared" si="3"/>
        <v>420000</v>
      </c>
      <c r="I210" s="584"/>
    </row>
    <row r="211" spans="1:9" ht="47.25">
      <c r="A211" s="545">
        <v>2</v>
      </c>
      <c r="B211" s="551" t="s">
        <v>838</v>
      </c>
      <c r="C211" s="545"/>
      <c r="D211" s="545"/>
      <c r="E211" s="545"/>
      <c r="F211" s="545"/>
      <c r="G211" s="546"/>
      <c r="H211" s="546">
        <f t="shared" si="3"/>
        <v>0</v>
      </c>
      <c r="I211" s="545"/>
    </row>
    <row r="212" spans="1:9" ht="15.75">
      <c r="A212" s="545"/>
      <c r="B212" s="551" t="s">
        <v>839</v>
      </c>
      <c r="C212" s="545" t="s">
        <v>840</v>
      </c>
      <c r="D212" s="545" t="s">
        <v>39</v>
      </c>
      <c r="E212" s="545">
        <f>(2+1.4+1)*1.05</f>
        <v>4.620000000000001</v>
      </c>
      <c r="F212" s="545" t="s">
        <v>63</v>
      </c>
      <c r="G212" s="546">
        <v>235000</v>
      </c>
      <c r="H212" s="546">
        <f t="shared" si="3"/>
        <v>1085700.0000000002</v>
      </c>
      <c r="I212" s="584"/>
    </row>
    <row r="213" spans="1:9" ht="15.75">
      <c r="A213" s="545"/>
      <c r="B213" s="551" t="s">
        <v>839</v>
      </c>
      <c r="C213" s="545" t="s">
        <v>841</v>
      </c>
      <c r="D213" s="545" t="s">
        <v>39</v>
      </c>
      <c r="E213" s="545">
        <f>(0.6*2+1.5)*1.05</f>
        <v>2.8350000000000004</v>
      </c>
      <c r="F213" s="545" t="s">
        <v>63</v>
      </c>
      <c r="G213" s="546">
        <v>235000</v>
      </c>
      <c r="H213" s="546">
        <f t="shared" si="3"/>
        <v>666225.00000000012</v>
      </c>
      <c r="I213" s="584"/>
    </row>
    <row r="214" spans="1:9" ht="15.75">
      <c r="A214" s="545"/>
      <c r="B214" s="551" t="s">
        <v>842</v>
      </c>
      <c r="C214" s="545" t="s">
        <v>843</v>
      </c>
      <c r="D214" s="545" t="s">
        <v>39</v>
      </c>
      <c r="E214" s="545">
        <f>0.3*2.7*6*1.05</f>
        <v>5.1030000000000006</v>
      </c>
      <c r="F214" s="545" t="s">
        <v>204</v>
      </c>
      <c r="G214" s="546">
        <v>181000</v>
      </c>
      <c r="H214" s="546">
        <f t="shared" si="3"/>
        <v>923643.00000000012</v>
      </c>
      <c r="I214" s="584"/>
    </row>
    <row r="215" spans="1:9" ht="15.75">
      <c r="A215" s="545"/>
      <c r="B215" s="551" t="s">
        <v>844</v>
      </c>
      <c r="C215" s="545" t="s">
        <v>845</v>
      </c>
      <c r="D215" s="545" t="s">
        <v>39</v>
      </c>
      <c r="E215" s="545">
        <v>12</v>
      </c>
      <c r="F215" s="545" t="s">
        <v>32</v>
      </c>
      <c r="G215" s="546">
        <v>16500</v>
      </c>
      <c r="H215" s="546">
        <f t="shared" si="3"/>
        <v>198000</v>
      </c>
      <c r="I215" s="584"/>
    </row>
    <row r="216" spans="1:9" ht="15.75">
      <c r="A216" s="545"/>
      <c r="B216" s="551" t="s">
        <v>444</v>
      </c>
      <c r="C216" s="545" t="s">
        <v>846</v>
      </c>
      <c r="D216" s="545" t="s">
        <v>847</v>
      </c>
      <c r="E216" s="545">
        <v>0.5</v>
      </c>
      <c r="F216" s="545" t="s">
        <v>44</v>
      </c>
      <c r="G216" s="546">
        <v>435000</v>
      </c>
      <c r="H216" s="546">
        <f t="shared" si="3"/>
        <v>217500</v>
      </c>
      <c r="I216" s="584"/>
    </row>
    <row r="217" spans="1:9" ht="15.75">
      <c r="A217" s="545"/>
      <c r="B217" s="551" t="s">
        <v>290</v>
      </c>
      <c r="C217" s="545"/>
      <c r="D217" s="545" t="s">
        <v>39</v>
      </c>
      <c r="E217" s="545">
        <v>0.23</v>
      </c>
      <c r="F217" s="545" t="s">
        <v>59</v>
      </c>
      <c r="G217" s="546">
        <v>206000</v>
      </c>
      <c r="H217" s="546">
        <f t="shared" si="3"/>
        <v>47380</v>
      </c>
      <c r="I217" s="584"/>
    </row>
    <row r="218" spans="1:9" ht="15.75">
      <c r="A218" s="545">
        <v>3</v>
      </c>
      <c r="B218" s="551" t="s">
        <v>848</v>
      </c>
      <c r="C218" s="545"/>
      <c r="D218" s="545"/>
      <c r="E218" s="545"/>
      <c r="F218" s="545"/>
      <c r="G218" s="546"/>
      <c r="H218" s="546">
        <f t="shared" si="3"/>
        <v>0</v>
      </c>
      <c r="I218" s="584"/>
    </row>
    <row r="219" spans="1:9" ht="15.75">
      <c r="A219" s="545"/>
      <c r="B219" s="551" t="s">
        <v>839</v>
      </c>
      <c r="C219" s="545" t="s">
        <v>840</v>
      </c>
      <c r="D219" s="545" t="s">
        <v>39</v>
      </c>
      <c r="E219" s="545">
        <f>1*1.05</f>
        <v>1.05</v>
      </c>
      <c r="F219" s="545" t="s">
        <v>63</v>
      </c>
      <c r="G219" s="546">
        <v>235000</v>
      </c>
      <c r="H219" s="546">
        <f t="shared" si="3"/>
        <v>246750</v>
      </c>
      <c r="I219" s="584"/>
    </row>
    <row r="220" spans="1:9" ht="15.75">
      <c r="A220" s="545"/>
      <c r="B220" s="551" t="s">
        <v>842</v>
      </c>
      <c r="C220" s="545" t="s">
        <v>843</v>
      </c>
      <c r="D220" s="545" t="s">
        <v>39</v>
      </c>
      <c r="E220" s="545">
        <f>0.2*2.7*6*1.05</f>
        <v>3.4020000000000006</v>
      </c>
      <c r="F220" s="545" t="s">
        <v>204</v>
      </c>
      <c r="G220" s="546">
        <v>181000</v>
      </c>
      <c r="H220" s="546">
        <f t="shared" si="3"/>
        <v>615762.00000000012</v>
      </c>
      <c r="I220" s="584"/>
    </row>
    <row r="221" spans="1:9" ht="15.75">
      <c r="A221" s="545"/>
      <c r="B221" s="551" t="s">
        <v>844</v>
      </c>
      <c r="C221" s="545" t="s">
        <v>845</v>
      </c>
      <c r="D221" s="545" t="s">
        <v>39</v>
      </c>
      <c r="E221" s="545">
        <v>4</v>
      </c>
      <c r="F221" s="545" t="s">
        <v>32</v>
      </c>
      <c r="G221" s="546">
        <v>16500</v>
      </c>
      <c r="H221" s="546">
        <f t="shared" si="3"/>
        <v>66000</v>
      </c>
      <c r="I221" s="584"/>
    </row>
    <row r="222" spans="1:9" ht="15.75">
      <c r="A222" s="545"/>
      <c r="B222" s="551" t="s">
        <v>444</v>
      </c>
      <c r="C222" s="545" t="s">
        <v>846</v>
      </c>
      <c r="D222" s="545" t="s">
        <v>847</v>
      </c>
      <c r="E222" s="545">
        <v>0.3</v>
      </c>
      <c r="F222" s="545" t="s">
        <v>44</v>
      </c>
      <c r="G222" s="546">
        <v>435000</v>
      </c>
      <c r="H222" s="546">
        <f t="shared" si="3"/>
        <v>130500</v>
      </c>
      <c r="I222" s="584"/>
    </row>
    <row r="223" spans="1:9" ht="15.75">
      <c r="A223" s="545"/>
      <c r="B223" s="551" t="s">
        <v>290</v>
      </c>
      <c r="C223" s="545"/>
      <c r="D223" s="545" t="s">
        <v>39</v>
      </c>
      <c r="E223" s="545">
        <v>0.1</v>
      </c>
      <c r="F223" s="545" t="s">
        <v>59</v>
      </c>
      <c r="G223" s="546">
        <v>206000</v>
      </c>
      <c r="H223" s="546">
        <f t="shared" si="3"/>
        <v>20600</v>
      </c>
      <c r="I223" s="584"/>
    </row>
    <row r="224" spans="1:9" ht="15.75">
      <c r="A224" s="545">
        <v>4</v>
      </c>
      <c r="B224" s="551" t="s">
        <v>849</v>
      </c>
      <c r="C224" s="545"/>
      <c r="D224" s="545"/>
      <c r="E224" s="545"/>
      <c r="F224" s="545"/>
      <c r="G224" s="546"/>
      <c r="H224" s="546">
        <f t="shared" si="3"/>
        <v>0</v>
      </c>
      <c r="I224" s="584"/>
    </row>
    <row r="225" spans="1:9" ht="15.75">
      <c r="A225" s="545"/>
      <c r="B225" s="551" t="s">
        <v>229</v>
      </c>
      <c r="C225" s="545">
        <v>6</v>
      </c>
      <c r="D225" s="545" t="s">
        <v>39</v>
      </c>
      <c r="E225" s="545">
        <f>ROUND(E39*1.05,2)</f>
        <v>7.42</v>
      </c>
      <c r="F225" s="545" t="s">
        <v>93</v>
      </c>
      <c r="G225" s="546">
        <v>28500</v>
      </c>
      <c r="H225" s="546">
        <f t="shared" si="3"/>
        <v>211470</v>
      </c>
      <c r="I225" s="584"/>
    </row>
    <row r="226" spans="1:9" ht="15.75">
      <c r="A226" s="545"/>
      <c r="B226" s="551" t="s">
        <v>850</v>
      </c>
      <c r="C226" s="545" t="s">
        <v>851</v>
      </c>
      <c r="D226" s="545" t="s">
        <v>39</v>
      </c>
      <c r="E226" s="545">
        <v>1</v>
      </c>
      <c r="F226" s="545" t="s">
        <v>44</v>
      </c>
      <c r="G226" s="546">
        <v>45200</v>
      </c>
      <c r="H226" s="546">
        <f t="shared" si="3"/>
        <v>45200</v>
      </c>
      <c r="I226" s="584"/>
    </row>
    <row r="227" spans="1:9" ht="15.75">
      <c r="A227" s="545"/>
      <c r="B227" s="551" t="s">
        <v>852</v>
      </c>
      <c r="C227" s="545" t="s">
        <v>853</v>
      </c>
      <c r="D227" s="545" t="s">
        <v>39</v>
      </c>
      <c r="E227" s="545">
        <v>10</v>
      </c>
      <c r="F227" s="545" t="s">
        <v>32</v>
      </c>
      <c r="G227" s="546">
        <v>38500</v>
      </c>
      <c r="H227" s="546">
        <f t="shared" si="3"/>
        <v>385000</v>
      </c>
      <c r="I227" s="584"/>
    </row>
    <row r="228" spans="1:9" ht="15.75">
      <c r="A228" s="542" t="s">
        <v>126</v>
      </c>
      <c r="B228" s="552" t="s">
        <v>694</v>
      </c>
      <c r="C228" s="542"/>
      <c r="D228" s="542"/>
      <c r="E228" s="542"/>
      <c r="F228" s="542"/>
      <c r="G228" s="563"/>
      <c r="H228" s="546">
        <f t="shared" si="3"/>
        <v>0</v>
      </c>
      <c r="I228" s="542"/>
    </row>
    <row r="229" spans="1:9" ht="31.5">
      <c r="A229" s="542">
        <v>1</v>
      </c>
      <c r="B229" s="552" t="s">
        <v>854</v>
      </c>
      <c r="C229" s="542"/>
      <c r="D229" s="542"/>
      <c r="E229" s="542"/>
      <c r="F229" s="542"/>
      <c r="G229" s="563"/>
      <c r="H229" s="546">
        <f t="shared" si="3"/>
        <v>0</v>
      </c>
      <c r="I229" s="542"/>
    </row>
    <row r="230" spans="1:9" ht="15.75">
      <c r="A230" s="545"/>
      <c r="B230" s="551" t="s">
        <v>855</v>
      </c>
      <c r="C230" s="545"/>
      <c r="D230" s="545"/>
      <c r="E230" s="545">
        <v>4</v>
      </c>
      <c r="F230" s="545" t="s">
        <v>146</v>
      </c>
      <c r="G230" s="546">
        <f>10476000*1.1</f>
        <v>11523600</v>
      </c>
      <c r="H230" s="546">
        <f t="shared" si="3"/>
        <v>46094400</v>
      </c>
      <c r="I230" s="584"/>
    </row>
    <row r="231" spans="1:9" ht="15.75">
      <c r="A231" s="545"/>
      <c r="B231" s="551" t="s">
        <v>71</v>
      </c>
      <c r="C231" s="545"/>
      <c r="D231" s="545"/>
      <c r="E231" s="545">
        <v>6</v>
      </c>
      <c r="F231" s="545" t="s">
        <v>146</v>
      </c>
      <c r="G231" s="546">
        <f>10485000*1.1</f>
        <v>11533500</v>
      </c>
      <c r="H231" s="546">
        <f t="shared" si="3"/>
        <v>69201000</v>
      </c>
      <c r="I231" s="584"/>
    </row>
    <row r="232" spans="1:9" ht="15.75">
      <c r="A232" s="545"/>
      <c r="B232" s="551" t="s">
        <v>235</v>
      </c>
      <c r="C232" s="545"/>
      <c r="D232" s="545"/>
      <c r="E232" s="545">
        <v>6</v>
      </c>
      <c r="F232" s="545" t="s">
        <v>146</v>
      </c>
      <c r="G232" s="546">
        <f>1785000*1.08</f>
        <v>1927800.0000000002</v>
      </c>
      <c r="H232" s="546">
        <f t="shared" si="3"/>
        <v>11566800.000000002</v>
      </c>
      <c r="I232" s="584"/>
    </row>
    <row r="233" spans="1:9" ht="15.75">
      <c r="A233" s="545"/>
      <c r="B233" s="551" t="s">
        <v>620</v>
      </c>
      <c r="C233" s="545"/>
      <c r="D233" s="545"/>
      <c r="E233" s="545">
        <v>6</v>
      </c>
      <c r="F233" s="545" t="s">
        <v>146</v>
      </c>
      <c r="G233" s="546">
        <f>2199000*1.1</f>
        <v>2418900</v>
      </c>
      <c r="H233" s="546">
        <f t="shared" si="3"/>
        <v>14513400</v>
      </c>
      <c r="I233" s="584"/>
    </row>
    <row r="234" spans="1:9" ht="15.75">
      <c r="A234" s="545"/>
      <c r="B234" s="551" t="s">
        <v>72</v>
      </c>
      <c r="C234" s="545"/>
      <c r="D234" s="545"/>
      <c r="E234" s="545">
        <v>1</v>
      </c>
      <c r="F234" s="545" t="s">
        <v>111</v>
      </c>
      <c r="G234" s="546">
        <f>5802000*1.08</f>
        <v>6266160</v>
      </c>
      <c r="H234" s="546">
        <f t="shared" si="3"/>
        <v>6266160</v>
      </c>
      <c r="I234" s="584"/>
    </row>
    <row r="235" spans="1:9" ht="15.75">
      <c r="A235" s="545"/>
      <c r="B235" s="551" t="s">
        <v>422</v>
      </c>
      <c r="C235" s="545"/>
      <c r="D235" s="545"/>
      <c r="E235" s="545">
        <v>6</v>
      </c>
      <c r="F235" s="545" t="s">
        <v>111</v>
      </c>
      <c r="G235" s="546">
        <f>186000*1.08</f>
        <v>200880</v>
      </c>
      <c r="H235" s="546">
        <f t="shared" si="3"/>
        <v>1205280</v>
      </c>
      <c r="I235" s="584"/>
    </row>
    <row r="236" spans="1:9" ht="15.75">
      <c r="A236" s="545"/>
      <c r="B236" s="551" t="s">
        <v>423</v>
      </c>
      <c r="C236" s="545"/>
      <c r="D236" s="545"/>
      <c r="E236" s="545">
        <v>6</v>
      </c>
      <c r="F236" s="545" t="s">
        <v>111</v>
      </c>
      <c r="G236" s="546">
        <f>76000*1.08</f>
        <v>82080</v>
      </c>
      <c r="H236" s="546">
        <f t="shared" si="3"/>
        <v>492480</v>
      </c>
      <c r="I236" s="584"/>
    </row>
    <row r="237" spans="1:9" ht="15.75">
      <c r="A237" s="545"/>
      <c r="B237" s="551" t="s">
        <v>73</v>
      </c>
      <c r="C237" s="545"/>
      <c r="D237" s="545"/>
      <c r="E237" s="545">
        <v>1</v>
      </c>
      <c r="F237" s="545" t="s">
        <v>111</v>
      </c>
      <c r="G237" s="546">
        <f>3162000*1.08</f>
        <v>3414960</v>
      </c>
      <c r="H237" s="546">
        <f t="shared" si="3"/>
        <v>3414960</v>
      </c>
      <c r="I237" s="584"/>
    </row>
    <row r="238" spans="1:9" ht="15.75">
      <c r="A238" s="545"/>
      <c r="B238" s="551" t="s">
        <v>856</v>
      </c>
      <c r="C238" s="545"/>
      <c r="D238" s="545"/>
      <c r="E238" s="545">
        <v>1</v>
      </c>
      <c r="F238" s="545" t="s">
        <v>111</v>
      </c>
      <c r="G238" s="546">
        <f>2412000*1.08</f>
        <v>2604960</v>
      </c>
      <c r="H238" s="546">
        <f t="shared" si="3"/>
        <v>2604960</v>
      </c>
      <c r="I238" s="584"/>
    </row>
    <row r="239" spans="1:9" ht="15.75">
      <c r="A239" s="545"/>
      <c r="B239" s="551" t="s">
        <v>236</v>
      </c>
      <c r="C239" s="545"/>
      <c r="D239" s="545"/>
      <c r="E239" s="545">
        <v>1</v>
      </c>
      <c r="F239" s="545" t="s">
        <v>111</v>
      </c>
      <c r="G239" s="546">
        <f>6870000*1.08</f>
        <v>7419600.0000000009</v>
      </c>
      <c r="H239" s="546">
        <f t="shared" si="3"/>
        <v>7419600.0000000009</v>
      </c>
      <c r="I239" s="584"/>
    </row>
    <row r="240" spans="1:9" ht="15.75">
      <c r="A240" s="545"/>
      <c r="B240" s="551" t="s">
        <v>857</v>
      </c>
      <c r="C240" s="545"/>
      <c r="D240" s="545"/>
      <c r="E240" s="545">
        <v>18</v>
      </c>
      <c r="F240" s="545" t="s">
        <v>170</v>
      </c>
      <c r="G240" s="546">
        <f>288000*1.1</f>
        <v>316800</v>
      </c>
      <c r="H240" s="546">
        <f t="shared" si="3"/>
        <v>5702400</v>
      </c>
      <c r="I240" s="584"/>
    </row>
    <row r="241" spans="1:9" ht="15.75">
      <c r="A241" s="545"/>
      <c r="B241" s="551" t="s">
        <v>858</v>
      </c>
      <c r="C241" s="545"/>
      <c r="D241" s="545"/>
      <c r="E241" s="545">
        <v>48</v>
      </c>
      <c r="F241" s="545" t="s">
        <v>204</v>
      </c>
      <c r="G241" s="546">
        <v>346500</v>
      </c>
      <c r="H241" s="546">
        <f t="shared" si="3"/>
        <v>16632000</v>
      </c>
      <c r="I241" s="584"/>
    </row>
    <row r="242" spans="1:9" ht="15.75">
      <c r="A242" s="545"/>
      <c r="B242" s="551" t="s">
        <v>859</v>
      </c>
      <c r="C242" s="545"/>
      <c r="D242" s="545"/>
      <c r="E242" s="545">
        <v>58</v>
      </c>
      <c r="F242" s="545" t="s">
        <v>204</v>
      </c>
      <c r="G242" s="546">
        <v>346500</v>
      </c>
      <c r="H242" s="546">
        <f t="shared" si="3"/>
        <v>20097000</v>
      </c>
      <c r="I242" s="584"/>
    </row>
    <row r="243" spans="1:9" ht="15.75">
      <c r="A243" s="545"/>
      <c r="B243" s="551" t="s">
        <v>860</v>
      </c>
      <c r="C243" s="545"/>
      <c r="D243" s="545"/>
      <c r="E243" s="545">
        <v>1</v>
      </c>
      <c r="F243" s="545" t="s">
        <v>111</v>
      </c>
      <c r="G243" s="546">
        <v>392040.00000000006</v>
      </c>
      <c r="H243" s="546">
        <f t="shared" si="3"/>
        <v>392040.00000000006</v>
      </c>
      <c r="I243" s="584"/>
    </row>
    <row r="244" spans="1:9" ht="31.5">
      <c r="A244" s="542">
        <v>2</v>
      </c>
      <c r="B244" s="552" t="s">
        <v>861</v>
      </c>
      <c r="C244" s="542"/>
      <c r="D244" s="542"/>
      <c r="E244" s="542"/>
      <c r="F244" s="542"/>
      <c r="G244" s="563"/>
      <c r="H244" s="546">
        <f t="shared" si="3"/>
        <v>0</v>
      </c>
      <c r="I244" s="542"/>
    </row>
    <row r="245" spans="1:9" ht="31.5">
      <c r="A245" s="542" t="s">
        <v>139</v>
      </c>
      <c r="B245" s="552" t="s">
        <v>862</v>
      </c>
      <c r="C245" s="542"/>
      <c r="D245" s="542"/>
      <c r="E245" s="542"/>
      <c r="F245" s="542"/>
      <c r="G245" s="563"/>
      <c r="H245" s="546">
        <f t="shared" si="3"/>
        <v>0</v>
      </c>
      <c r="I245" s="589"/>
    </row>
    <row r="246" spans="1:9" ht="15.75">
      <c r="A246" s="564"/>
      <c r="B246" s="565" t="s">
        <v>863</v>
      </c>
      <c r="C246" s="564" t="s">
        <v>864</v>
      </c>
      <c r="D246" s="564"/>
      <c r="E246" s="564">
        <v>2</v>
      </c>
      <c r="F246" s="564" t="s">
        <v>111</v>
      </c>
      <c r="G246" s="566">
        <f>4800000*1.08</f>
        <v>5184000</v>
      </c>
      <c r="H246" s="546">
        <f t="shared" si="3"/>
        <v>10368000</v>
      </c>
      <c r="I246" s="590" t="s">
        <v>1890</v>
      </c>
    </row>
    <row r="247" spans="1:9" ht="15.75">
      <c r="A247" s="545"/>
      <c r="B247" s="551" t="s">
        <v>865</v>
      </c>
      <c r="C247" s="545" t="s">
        <v>866</v>
      </c>
      <c r="D247" s="545"/>
      <c r="E247" s="545">
        <v>2</v>
      </c>
      <c r="F247" s="545" t="s">
        <v>111</v>
      </c>
      <c r="G247" s="546">
        <f>2526000*1.08</f>
        <v>2728080</v>
      </c>
      <c r="H247" s="546">
        <f t="shared" si="3"/>
        <v>5456160</v>
      </c>
      <c r="I247" s="591" t="s">
        <v>1891</v>
      </c>
    </row>
    <row r="248" spans="1:9" ht="15.75">
      <c r="A248" s="545"/>
      <c r="B248" s="551" t="s">
        <v>867</v>
      </c>
      <c r="C248" s="545" t="s">
        <v>868</v>
      </c>
      <c r="D248" s="545"/>
      <c r="E248" s="545">
        <v>2</v>
      </c>
      <c r="F248" s="545" t="s">
        <v>111</v>
      </c>
      <c r="G248" s="546">
        <f>4106000*1.08</f>
        <v>4434480</v>
      </c>
      <c r="H248" s="546">
        <f t="shared" si="3"/>
        <v>8868960</v>
      </c>
      <c r="I248" s="591" t="s">
        <v>1891</v>
      </c>
    </row>
    <row r="249" spans="1:9" ht="15.75">
      <c r="A249" s="542" t="s">
        <v>139</v>
      </c>
      <c r="B249" s="552" t="s">
        <v>869</v>
      </c>
      <c r="C249" s="542"/>
      <c r="D249" s="542"/>
      <c r="E249" s="542"/>
      <c r="F249" s="542"/>
      <c r="G249" s="563"/>
      <c r="H249" s="546">
        <f t="shared" si="3"/>
        <v>0</v>
      </c>
      <c r="I249" s="589"/>
    </row>
    <row r="250" spans="1:9" ht="31.5">
      <c r="A250" s="545"/>
      <c r="B250" s="551" t="s">
        <v>870</v>
      </c>
      <c r="C250" s="545"/>
      <c r="D250" s="545"/>
      <c r="E250" s="545">
        <v>2</v>
      </c>
      <c r="F250" s="545" t="s">
        <v>111</v>
      </c>
      <c r="G250" s="546">
        <v>16397252.000000004</v>
      </c>
      <c r="H250" s="546">
        <f t="shared" si="3"/>
        <v>32794504.000000007</v>
      </c>
      <c r="I250" s="584" t="s">
        <v>1881</v>
      </c>
    </row>
    <row r="251" spans="1:9" ht="15.75">
      <c r="A251" s="542" t="s">
        <v>147</v>
      </c>
      <c r="B251" s="552" t="s">
        <v>327</v>
      </c>
      <c r="C251" s="542"/>
      <c r="D251" s="542"/>
      <c r="E251" s="542"/>
      <c r="F251" s="542"/>
      <c r="G251" s="563"/>
      <c r="H251" s="546">
        <f t="shared" si="3"/>
        <v>0</v>
      </c>
      <c r="I251" s="542"/>
    </row>
    <row r="252" spans="1:9" ht="31.5">
      <c r="A252" s="542"/>
      <c r="B252" s="551" t="s">
        <v>871</v>
      </c>
      <c r="C252" s="545" t="s">
        <v>872</v>
      </c>
      <c r="D252" s="545" t="s">
        <v>289</v>
      </c>
      <c r="E252" s="545">
        <v>72.47</v>
      </c>
      <c r="F252" s="545" t="s">
        <v>204</v>
      </c>
      <c r="G252" s="546">
        <v>115000</v>
      </c>
      <c r="H252" s="546">
        <f t="shared" si="3"/>
        <v>8334050</v>
      </c>
      <c r="I252" s="542"/>
    </row>
    <row r="253" spans="1:9" ht="15.75">
      <c r="A253" s="545"/>
      <c r="B253" s="551" t="s">
        <v>873</v>
      </c>
      <c r="C253" s="545"/>
      <c r="D253" s="545" t="s">
        <v>39</v>
      </c>
      <c r="E253" s="545">
        <v>8</v>
      </c>
      <c r="F253" s="545" t="s">
        <v>111</v>
      </c>
      <c r="G253" s="546">
        <v>125000</v>
      </c>
      <c r="H253" s="546">
        <f t="shared" si="3"/>
        <v>1000000</v>
      </c>
      <c r="I253" s="542"/>
    </row>
    <row r="254" spans="1:9" ht="15.75">
      <c r="A254" s="545"/>
      <c r="B254" s="551" t="s">
        <v>874</v>
      </c>
      <c r="C254" s="545" t="s">
        <v>875</v>
      </c>
      <c r="D254" s="545" t="s">
        <v>39</v>
      </c>
      <c r="E254" s="545">
        <f>32+48</f>
        <v>80</v>
      </c>
      <c r="F254" s="545" t="s">
        <v>146</v>
      </c>
      <c r="G254" s="546">
        <v>33500</v>
      </c>
      <c r="H254" s="546">
        <f t="shared" si="3"/>
        <v>2680000</v>
      </c>
      <c r="I254" s="542"/>
    </row>
    <row r="255" spans="1:9" ht="15.75">
      <c r="A255" s="545"/>
      <c r="B255" s="551" t="s">
        <v>874</v>
      </c>
      <c r="C255" s="545" t="s">
        <v>876</v>
      </c>
      <c r="D255" s="545" t="s">
        <v>39</v>
      </c>
      <c r="E255" s="545">
        <v>32</v>
      </c>
      <c r="F255" s="545" t="s">
        <v>146</v>
      </c>
      <c r="G255" s="546">
        <v>28500</v>
      </c>
      <c r="H255" s="546">
        <f t="shared" si="3"/>
        <v>912000</v>
      </c>
      <c r="I255" s="584"/>
    </row>
    <row r="256" spans="1:9" ht="15.75">
      <c r="A256" s="545"/>
      <c r="B256" s="551" t="s">
        <v>874</v>
      </c>
      <c r="C256" s="545" t="s">
        <v>877</v>
      </c>
      <c r="D256" s="545" t="s">
        <v>39</v>
      </c>
      <c r="E256" s="545">
        <v>4</v>
      </c>
      <c r="F256" s="545" t="s">
        <v>146</v>
      </c>
      <c r="G256" s="546">
        <v>33500</v>
      </c>
      <c r="H256" s="546">
        <f t="shared" si="3"/>
        <v>134000</v>
      </c>
      <c r="I256" s="584"/>
    </row>
    <row r="257" spans="1:9" ht="15.75">
      <c r="A257" s="545"/>
      <c r="B257" s="551" t="s">
        <v>874</v>
      </c>
      <c r="C257" s="545" t="s">
        <v>878</v>
      </c>
      <c r="D257" s="545" t="s">
        <v>39</v>
      </c>
      <c r="E257" s="545">
        <f>8+24</f>
        <v>32</v>
      </c>
      <c r="F257" s="545" t="s">
        <v>146</v>
      </c>
      <c r="G257" s="546">
        <v>24500</v>
      </c>
      <c r="H257" s="546">
        <f t="shared" si="3"/>
        <v>784000</v>
      </c>
      <c r="I257" s="584"/>
    </row>
    <row r="258" spans="1:9" ht="15.75">
      <c r="A258" s="545"/>
      <c r="B258" s="551" t="s">
        <v>874</v>
      </c>
      <c r="C258" s="545" t="s">
        <v>879</v>
      </c>
      <c r="D258" s="545" t="s">
        <v>39</v>
      </c>
      <c r="E258" s="545">
        <v>16</v>
      </c>
      <c r="F258" s="545" t="s">
        <v>146</v>
      </c>
      <c r="G258" s="546">
        <v>20500</v>
      </c>
      <c r="H258" s="546">
        <f t="shared" si="3"/>
        <v>328000</v>
      </c>
      <c r="I258" s="584"/>
    </row>
    <row r="259" spans="1:9" ht="15.75">
      <c r="A259" s="545"/>
      <c r="B259" s="551" t="s">
        <v>874</v>
      </c>
      <c r="C259" s="545" t="s">
        <v>880</v>
      </c>
      <c r="D259" s="545" t="s">
        <v>39</v>
      </c>
      <c r="E259" s="545">
        <v>12</v>
      </c>
      <c r="F259" s="545" t="s">
        <v>146</v>
      </c>
      <c r="G259" s="546">
        <v>33500</v>
      </c>
      <c r="H259" s="546">
        <f t="shared" si="3"/>
        <v>402000</v>
      </c>
      <c r="I259" s="584"/>
    </row>
    <row r="260" spans="1:9" ht="15.75">
      <c r="A260" s="545"/>
      <c r="B260" s="551" t="s">
        <v>874</v>
      </c>
      <c r="C260" s="545" t="s">
        <v>881</v>
      </c>
      <c r="D260" s="545" t="s">
        <v>39</v>
      </c>
      <c r="E260" s="545">
        <f>16+4+4+24</f>
        <v>48</v>
      </c>
      <c r="F260" s="545" t="s">
        <v>146</v>
      </c>
      <c r="G260" s="546">
        <v>12500</v>
      </c>
      <c r="H260" s="546">
        <f t="shared" si="3"/>
        <v>600000</v>
      </c>
      <c r="I260" s="584"/>
    </row>
    <row r="261" spans="1:9" ht="15.75">
      <c r="A261" s="545"/>
      <c r="B261" s="551" t="s">
        <v>874</v>
      </c>
      <c r="C261" s="545" t="s">
        <v>882</v>
      </c>
      <c r="D261" s="545" t="s">
        <v>39</v>
      </c>
      <c r="E261" s="545">
        <v>24</v>
      </c>
      <c r="F261" s="545" t="s">
        <v>146</v>
      </c>
      <c r="G261" s="546">
        <v>12500</v>
      </c>
      <c r="H261" s="546">
        <f t="shared" si="3"/>
        <v>300000</v>
      </c>
      <c r="I261" s="584"/>
    </row>
    <row r="262" spans="1:9" ht="15.75">
      <c r="A262" s="545"/>
      <c r="B262" s="551" t="s">
        <v>874</v>
      </c>
      <c r="C262" s="545" t="s">
        <v>883</v>
      </c>
      <c r="D262" s="545" t="s">
        <v>39</v>
      </c>
      <c r="E262" s="545">
        <f>24+24+20+12</f>
        <v>80</v>
      </c>
      <c r="F262" s="545" t="s">
        <v>146</v>
      </c>
      <c r="G262" s="546">
        <v>12500</v>
      </c>
      <c r="H262" s="546">
        <f t="shared" si="3"/>
        <v>1000000</v>
      </c>
      <c r="I262" s="584"/>
    </row>
    <row r="263" spans="1:9" ht="15.75">
      <c r="A263" s="545"/>
      <c r="B263" s="551" t="s">
        <v>874</v>
      </c>
      <c r="C263" s="545" t="s">
        <v>884</v>
      </c>
      <c r="D263" s="545" t="s">
        <v>39</v>
      </c>
      <c r="E263" s="545">
        <f>24+24</f>
        <v>48</v>
      </c>
      <c r="F263" s="545" t="s">
        <v>146</v>
      </c>
      <c r="G263" s="546">
        <v>16500</v>
      </c>
      <c r="H263" s="546">
        <f t="shared" si="3"/>
        <v>792000</v>
      </c>
      <c r="I263" s="584"/>
    </row>
    <row r="264" spans="1:9" ht="15.75">
      <c r="A264" s="545"/>
      <c r="B264" s="551" t="s">
        <v>874</v>
      </c>
      <c r="C264" s="545" t="s">
        <v>885</v>
      </c>
      <c r="D264" s="545" t="s">
        <v>39</v>
      </c>
      <c r="E264" s="545">
        <v>48</v>
      </c>
      <c r="F264" s="545" t="s">
        <v>146</v>
      </c>
      <c r="G264" s="546">
        <v>16500</v>
      </c>
      <c r="H264" s="546">
        <f t="shared" si="3"/>
        <v>792000</v>
      </c>
      <c r="I264" s="584"/>
    </row>
    <row r="265" spans="1:9" ht="15.75">
      <c r="A265" s="545"/>
      <c r="B265" s="551" t="s">
        <v>874</v>
      </c>
      <c r="C265" s="545" t="s">
        <v>886</v>
      </c>
      <c r="D265" s="545" t="s">
        <v>39</v>
      </c>
      <c r="E265" s="545">
        <f>40+40</f>
        <v>80</v>
      </c>
      <c r="F265" s="545" t="s">
        <v>146</v>
      </c>
      <c r="G265" s="546">
        <v>20500</v>
      </c>
      <c r="H265" s="546">
        <f t="shared" si="3"/>
        <v>1640000</v>
      </c>
      <c r="I265" s="584"/>
    </row>
    <row r="266" spans="1:9" ht="15.75">
      <c r="A266" s="545"/>
      <c r="B266" s="551" t="s">
        <v>300</v>
      </c>
      <c r="C266" s="545" t="s">
        <v>887</v>
      </c>
      <c r="D266" s="545" t="s">
        <v>39</v>
      </c>
      <c r="E266" s="545">
        <f>8+4+1</f>
        <v>13</v>
      </c>
      <c r="F266" s="545" t="s">
        <v>146</v>
      </c>
      <c r="G266" s="546">
        <v>8500</v>
      </c>
      <c r="H266" s="546">
        <f t="shared" si="3"/>
        <v>110500</v>
      </c>
      <c r="I266" s="584"/>
    </row>
    <row r="267" spans="1:9" ht="47.25">
      <c r="A267" s="545"/>
      <c r="B267" s="551" t="s">
        <v>888</v>
      </c>
      <c r="C267" s="545" t="s">
        <v>889</v>
      </c>
      <c r="D267" s="545" t="s">
        <v>39</v>
      </c>
      <c r="E267" s="545">
        <v>6</v>
      </c>
      <c r="F267" s="545" t="s">
        <v>111</v>
      </c>
      <c r="G267" s="546">
        <v>220000</v>
      </c>
      <c r="H267" s="546">
        <f t="shared" si="3"/>
        <v>1320000</v>
      </c>
      <c r="I267" s="584"/>
    </row>
    <row r="268" spans="1:9" ht="31.5">
      <c r="A268" s="545"/>
      <c r="B268" s="551" t="s">
        <v>890</v>
      </c>
      <c r="C268" s="545" t="s">
        <v>891</v>
      </c>
      <c r="D268" s="545" t="s">
        <v>39</v>
      </c>
      <c r="E268" s="545">
        <v>3</v>
      </c>
      <c r="F268" s="545" t="s">
        <v>111</v>
      </c>
      <c r="G268" s="546">
        <v>350000</v>
      </c>
      <c r="H268" s="546">
        <f t="shared" si="3"/>
        <v>1050000</v>
      </c>
      <c r="I268" s="584"/>
    </row>
    <row r="269" spans="1:9" ht="31.5">
      <c r="A269" s="545"/>
      <c r="B269" s="551" t="s">
        <v>641</v>
      </c>
      <c r="C269" s="545" t="s">
        <v>892</v>
      </c>
      <c r="D269" s="545" t="s">
        <v>39</v>
      </c>
      <c r="E269" s="545">
        <v>4</v>
      </c>
      <c r="F269" s="545" t="s">
        <v>111</v>
      </c>
      <c r="G269" s="546">
        <f>7425000*1.08</f>
        <v>8019000.0000000009</v>
      </c>
      <c r="H269" s="546">
        <f t="shared" ref="H269:H332" si="4">G269*E269</f>
        <v>32076000.000000004</v>
      </c>
      <c r="I269" s="584"/>
    </row>
    <row r="270" spans="1:9" ht="31.5">
      <c r="A270" s="545"/>
      <c r="B270" s="551" t="s">
        <v>641</v>
      </c>
      <c r="C270" s="545" t="s">
        <v>893</v>
      </c>
      <c r="D270" s="545" t="s">
        <v>39</v>
      </c>
      <c r="E270" s="545">
        <v>2</v>
      </c>
      <c r="F270" s="545" t="s">
        <v>111</v>
      </c>
      <c r="G270" s="546">
        <f>5620000*1.08</f>
        <v>6069600</v>
      </c>
      <c r="H270" s="546">
        <f t="shared" si="4"/>
        <v>12139200</v>
      </c>
      <c r="I270" s="584"/>
    </row>
    <row r="271" spans="1:9" ht="31.5">
      <c r="A271" s="545"/>
      <c r="B271" s="551" t="s">
        <v>894</v>
      </c>
      <c r="C271" s="545" t="s">
        <v>895</v>
      </c>
      <c r="D271" s="545" t="s">
        <v>39</v>
      </c>
      <c r="E271" s="545">
        <f>12+2+1</f>
        <v>15</v>
      </c>
      <c r="F271" s="545" t="s">
        <v>111</v>
      </c>
      <c r="G271" s="546">
        <v>150000</v>
      </c>
      <c r="H271" s="546">
        <f t="shared" si="4"/>
        <v>2250000</v>
      </c>
      <c r="I271" s="584"/>
    </row>
    <row r="272" spans="1:9" ht="15.75">
      <c r="A272" s="545"/>
      <c r="B272" s="551" t="s">
        <v>896</v>
      </c>
      <c r="C272" s="545" t="s">
        <v>897</v>
      </c>
      <c r="D272" s="545" t="s">
        <v>39</v>
      </c>
      <c r="E272" s="545">
        <f>3+1</f>
        <v>4</v>
      </c>
      <c r="F272" s="545" t="s">
        <v>63</v>
      </c>
      <c r="G272" s="546">
        <v>25000</v>
      </c>
      <c r="H272" s="546">
        <f t="shared" si="4"/>
        <v>100000</v>
      </c>
      <c r="I272" s="584"/>
    </row>
    <row r="273" spans="1:9" ht="15.75">
      <c r="A273" s="545"/>
      <c r="B273" s="551" t="s">
        <v>896</v>
      </c>
      <c r="C273" s="545" t="s">
        <v>898</v>
      </c>
      <c r="D273" s="545" t="s">
        <v>39</v>
      </c>
      <c r="E273" s="545">
        <f>3+2+0.5</f>
        <v>5.5</v>
      </c>
      <c r="F273" s="545" t="s">
        <v>63</v>
      </c>
      <c r="G273" s="546">
        <v>30000</v>
      </c>
      <c r="H273" s="546">
        <f t="shared" si="4"/>
        <v>165000</v>
      </c>
      <c r="I273" s="584"/>
    </row>
    <row r="274" spans="1:9" ht="31.5">
      <c r="A274" s="545"/>
      <c r="B274" s="551" t="s">
        <v>899</v>
      </c>
      <c r="C274" s="545" t="s">
        <v>900</v>
      </c>
      <c r="D274" s="545" t="s">
        <v>39</v>
      </c>
      <c r="E274" s="545">
        <v>1</v>
      </c>
      <c r="F274" s="545" t="s">
        <v>111</v>
      </c>
      <c r="G274" s="546">
        <f>ROUND(0.4*2280000*1.1+0.5*450000,-3)</f>
        <v>1228000</v>
      </c>
      <c r="H274" s="546">
        <f t="shared" si="4"/>
        <v>1228000</v>
      </c>
      <c r="I274" s="584"/>
    </row>
    <row r="275" spans="1:9" ht="15.75">
      <c r="A275" s="545"/>
      <c r="B275" s="551" t="s">
        <v>901</v>
      </c>
      <c r="C275" s="545" t="s">
        <v>902</v>
      </c>
      <c r="D275" s="545" t="s">
        <v>39</v>
      </c>
      <c r="E275" s="545">
        <v>4</v>
      </c>
      <c r="F275" s="545" t="s">
        <v>111</v>
      </c>
      <c r="G275" s="546">
        <v>65000</v>
      </c>
      <c r="H275" s="546">
        <f t="shared" si="4"/>
        <v>260000</v>
      </c>
      <c r="I275" s="584"/>
    </row>
    <row r="276" spans="1:9" ht="15.75">
      <c r="A276" s="545"/>
      <c r="B276" s="551" t="s">
        <v>903</v>
      </c>
      <c r="C276" s="545" t="s">
        <v>904</v>
      </c>
      <c r="D276" s="545" t="s">
        <v>39</v>
      </c>
      <c r="E276" s="545">
        <v>1</v>
      </c>
      <c r="F276" s="545" t="s">
        <v>111</v>
      </c>
      <c r="G276" s="546">
        <v>150000</v>
      </c>
      <c r="H276" s="546">
        <f t="shared" si="4"/>
        <v>150000</v>
      </c>
      <c r="I276" s="584"/>
    </row>
    <row r="277" spans="1:9" ht="15.75">
      <c r="A277" s="545"/>
      <c r="B277" s="551" t="s">
        <v>905</v>
      </c>
      <c r="C277" s="545" t="s">
        <v>906</v>
      </c>
      <c r="D277" s="545" t="s">
        <v>39</v>
      </c>
      <c r="E277" s="545">
        <v>24</v>
      </c>
      <c r="F277" s="545" t="s">
        <v>146</v>
      </c>
      <c r="G277" s="546">
        <v>3300</v>
      </c>
      <c r="H277" s="546">
        <f t="shared" si="4"/>
        <v>79200</v>
      </c>
      <c r="I277" s="584"/>
    </row>
    <row r="278" spans="1:9" ht="15.75">
      <c r="A278" s="545"/>
      <c r="B278" s="551" t="s">
        <v>907</v>
      </c>
      <c r="C278" s="545" t="s">
        <v>908</v>
      </c>
      <c r="D278" s="545" t="s">
        <v>39</v>
      </c>
      <c r="E278" s="545">
        <v>3</v>
      </c>
      <c r="F278" s="545" t="s">
        <v>111</v>
      </c>
      <c r="G278" s="546">
        <f>7150000*1.1</f>
        <v>7865000.0000000009</v>
      </c>
      <c r="H278" s="546">
        <f t="shared" si="4"/>
        <v>23595000.000000004</v>
      </c>
      <c r="I278" s="584"/>
    </row>
    <row r="279" spans="1:9" ht="15.75">
      <c r="A279" s="545"/>
      <c r="B279" s="551" t="s">
        <v>907</v>
      </c>
      <c r="C279" s="545" t="s">
        <v>909</v>
      </c>
      <c r="D279" s="545" t="s">
        <v>39</v>
      </c>
      <c r="E279" s="545">
        <v>3</v>
      </c>
      <c r="F279" s="545" t="s">
        <v>111</v>
      </c>
      <c r="G279" s="546">
        <f>5550000*1.1</f>
        <v>6105000.0000000009</v>
      </c>
      <c r="H279" s="546">
        <f t="shared" si="4"/>
        <v>18315000.000000004</v>
      </c>
      <c r="I279" s="584"/>
    </row>
    <row r="280" spans="1:9" ht="15.75">
      <c r="A280" s="545"/>
      <c r="B280" s="551" t="s">
        <v>270</v>
      </c>
      <c r="C280" s="545" t="s">
        <v>910</v>
      </c>
      <c r="D280" s="545" t="s">
        <v>39</v>
      </c>
      <c r="E280" s="545">
        <f>+ROUND(3.14*0.06*(0.3+0.8+2.3+2.7)*1.1*7.85*4,2)</f>
        <v>39.69</v>
      </c>
      <c r="F280" s="545" t="s">
        <v>204</v>
      </c>
      <c r="G280" s="546">
        <v>48500</v>
      </c>
      <c r="H280" s="546">
        <f t="shared" si="4"/>
        <v>1924965</v>
      </c>
      <c r="I280" s="584"/>
    </row>
    <row r="281" spans="1:9" ht="15.75">
      <c r="A281" s="545"/>
      <c r="B281" s="551" t="s">
        <v>270</v>
      </c>
      <c r="C281" s="545" t="s">
        <v>911</v>
      </c>
      <c r="D281" s="545" t="s">
        <v>39</v>
      </c>
      <c r="E281" s="545">
        <f>+ROUND(3.14*0.048*(0.6+0.5)*1.1*7.85*3.7,2)</f>
        <v>5.3</v>
      </c>
      <c r="F281" s="545" t="s">
        <v>204</v>
      </c>
      <c r="G281" s="546">
        <v>48500</v>
      </c>
      <c r="H281" s="546">
        <f t="shared" si="4"/>
        <v>257050</v>
      </c>
      <c r="I281" s="584"/>
    </row>
    <row r="282" spans="1:9" ht="15.75">
      <c r="A282" s="545"/>
      <c r="B282" s="551" t="s">
        <v>912</v>
      </c>
      <c r="C282" s="545" t="s">
        <v>913</v>
      </c>
      <c r="D282" s="545" t="s">
        <v>39</v>
      </c>
      <c r="E282" s="545">
        <v>2</v>
      </c>
      <c r="F282" s="545" t="s">
        <v>111</v>
      </c>
      <c r="G282" s="546">
        <f>65000*1.1</f>
        <v>71500</v>
      </c>
      <c r="H282" s="546">
        <f t="shared" si="4"/>
        <v>143000</v>
      </c>
      <c r="I282" s="584"/>
    </row>
    <row r="283" spans="1:9" ht="15.75">
      <c r="A283" s="545"/>
      <c r="B283" s="551" t="s">
        <v>914</v>
      </c>
      <c r="C283" s="545" t="s">
        <v>915</v>
      </c>
      <c r="D283" s="545" t="s">
        <v>39</v>
      </c>
      <c r="E283" s="545">
        <v>1</v>
      </c>
      <c r="F283" s="545" t="s">
        <v>111</v>
      </c>
      <c r="G283" s="546">
        <f>65000*1.1</f>
        <v>71500</v>
      </c>
      <c r="H283" s="546">
        <f t="shared" si="4"/>
        <v>71500</v>
      </c>
      <c r="I283" s="584"/>
    </row>
    <row r="284" spans="1:9" ht="15.75">
      <c r="A284" s="545"/>
      <c r="B284" s="551" t="s">
        <v>912</v>
      </c>
      <c r="C284" s="545" t="s">
        <v>916</v>
      </c>
      <c r="D284" s="545" t="s">
        <v>39</v>
      </c>
      <c r="E284" s="545">
        <v>2</v>
      </c>
      <c r="F284" s="545" t="s">
        <v>111</v>
      </c>
      <c r="G284" s="546">
        <f>48000*1.1</f>
        <v>52800.000000000007</v>
      </c>
      <c r="H284" s="546">
        <f t="shared" si="4"/>
        <v>105600.00000000001</v>
      </c>
      <c r="I284" s="584"/>
    </row>
    <row r="285" spans="1:9" ht="15.75">
      <c r="A285" s="542"/>
      <c r="B285" s="551" t="s">
        <v>871</v>
      </c>
      <c r="C285" s="545" t="s">
        <v>917</v>
      </c>
      <c r="D285" s="545" t="s">
        <v>39</v>
      </c>
      <c r="E285" s="545">
        <f>+ROUND(3.14*0.034*1.3*1.1*7.9*4,2)</f>
        <v>4.82</v>
      </c>
      <c r="F285" s="545" t="s">
        <v>204</v>
      </c>
      <c r="G285" s="546">
        <v>115000</v>
      </c>
      <c r="H285" s="546">
        <f t="shared" si="4"/>
        <v>554300</v>
      </c>
      <c r="I285" s="542"/>
    </row>
    <row r="286" spans="1:9" ht="15.75">
      <c r="A286" s="545"/>
      <c r="B286" s="551" t="s">
        <v>918</v>
      </c>
      <c r="C286" s="545" t="s">
        <v>917</v>
      </c>
      <c r="D286" s="545" t="s">
        <v>39</v>
      </c>
      <c r="E286" s="545">
        <v>1</v>
      </c>
      <c r="F286" s="545" t="s">
        <v>111</v>
      </c>
      <c r="G286" s="546">
        <f>120000*1.1</f>
        <v>132000</v>
      </c>
      <c r="H286" s="546">
        <f t="shared" si="4"/>
        <v>132000</v>
      </c>
      <c r="I286" s="584"/>
    </row>
    <row r="287" spans="1:9" ht="15.75">
      <c r="A287" s="545"/>
      <c r="B287" s="551" t="s">
        <v>874</v>
      </c>
      <c r="C287" s="545" t="s">
        <v>919</v>
      </c>
      <c r="D287" s="545" t="s">
        <v>39</v>
      </c>
      <c r="E287" s="545">
        <f>4+4+12+8</f>
        <v>28</v>
      </c>
      <c r="F287" s="545" t="s">
        <v>146</v>
      </c>
      <c r="G287" s="546">
        <v>16500</v>
      </c>
      <c r="H287" s="546">
        <f t="shared" si="4"/>
        <v>462000</v>
      </c>
      <c r="I287" s="584"/>
    </row>
    <row r="288" spans="1:9" ht="15.75">
      <c r="A288" s="545"/>
      <c r="B288" s="551" t="s">
        <v>874</v>
      </c>
      <c r="C288" s="545" t="s">
        <v>920</v>
      </c>
      <c r="D288" s="545" t="s">
        <v>39</v>
      </c>
      <c r="E288" s="545">
        <v>8</v>
      </c>
      <c r="F288" s="545" t="s">
        <v>146</v>
      </c>
      <c r="G288" s="546">
        <v>18500</v>
      </c>
      <c r="H288" s="546">
        <f t="shared" si="4"/>
        <v>148000</v>
      </c>
      <c r="I288" s="584"/>
    </row>
    <row r="289" spans="1:9" ht="15.75">
      <c r="A289" s="545"/>
      <c r="B289" s="551" t="s">
        <v>921</v>
      </c>
      <c r="C289" s="545" t="s">
        <v>884</v>
      </c>
      <c r="D289" s="545" t="s">
        <v>39</v>
      </c>
      <c r="E289" s="545">
        <v>14</v>
      </c>
      <c r="F289" s="545" t="s">
        <v>146</v>
      </c>
      <c r="G289" s="546">
        <f>16500*1.2</f>
        <v>19800</v>
      </c>
      <c r="H289" s="546">
        <f t="shared" si="4"/>
        <v>277200</v>
      </c>
      <c r="I289" s="584"/>
    </row>
    <row r="290" spans="1:9" ht="15.75">
      <c r="A290" s="545"/>
      <c r="B290" s="551" t="s">
        <v>874</v>
      </c>
      <c r="C290" s="545" t="s">
        <v>922</v>
      </c>
      <c r="D290" s="545" t="s">
        <v>39</v>
      </c>
      <c r="E290" s="545">
        <v>4</v>
      </c>
      <c r="F290" s="545" t="s">
        <v>146</v>
      </c>
      <c r="G290" s="546">
        <v>16500</v>
      </c>
      <c r="H290" s="546">
        <f t="shared" si="4"/>
        <v>66000</v>
      </c>
      <c r="I290" s="584"/>
    </row>
    <row r="291" spans="1:9" ht="15.75">
      <c r="A291" s="542" t="s">
        <v>153</v>
      </c>
      <c r="B291" s="543" t="s">
        <v>154</v>
      </c>
      <c r="C291" s="545"/>
      <c r="D291" s="545"/>
      <c r="E291" s="545"/>
      <c r="F291" s="545"/>
      <c r="G291" s="546"/>
      <c r="H291" s="546">
        <f t="shared" si="4"/>
        <v>0</v>
      </c>
      <c r="I291" s="584"/>
    </row>
    <row r="292" spans="1:9" ht="31.5">
      <c r="A292" s="545"/>
      <c r="B292" s="551" t="s">
        <v>287</v>
      </c>
      <c r="C292" s="545" t="s">
        <v>288</v>
      </c>
      <c r="D292" s="545" t="s">
        <v>289</v>
      </c>
      <c r="E292" s="545">
        <v>5</v>
      </c>
      <c r="F292" s="545" t="s">
        <v>204</v>
      </c>
      <c r="G292" s="546">
        <f>1000000*1.1</f>
        <v>1100000</v>
      </c>
      <c r="H292" s="546">
        <f t="shared" si="4"/>
        <v>5500000</v>
      </c>
      <c r="I292" s="584"/>
    </row>
    <row r="293" spans="1:9" ht="15.75">
      <c r="A293" s="545"/>
      <c r="B293" s="551" t="s">
        <v>290</v>
      </c>
      <c r="C293" s="545"/>
      <c r="D293" s="545" t="s">
        <v>39</v>
      </c>
      <c r="E293" s="545">
        <v>2</v>
      </c>
      <c r="F293" s="545" t="s">
        <v>59</v>
      </c>
      <c r="G293" s="546">
        <v>206000</v>
      </c>
      <c r="H293" s="546">
        <f t="shared" si="4"/>
        <v>412000</v>
      </c>
      <c r="I293" s="584"/>
    </row>
    <row r="294" spans="1:9" ht="15.75">
      <c r="A294" s="545"/>
      <c r="B294" s="551" t="s">
        <v>52</v>
      </c>
      <c r="C294" s="545" t="s">
        <v>291</v>
      </c>
      <c r="D294" s="545" t="s">
        <v>39</v>
      </c>
      <c r="E294" s="545">
        <v>15</v>
      </c>
      <c r="F294" s="545" t="s">
        <v>292</v>
      </c>
      <c r="G294" s="546">
        <v>21000</v>
      </c>
      <c r="H294" s="546">
        <f t="shared" si="4"/>
        <v>315000</v>
      </c>
      <c r="I294" s="584"/>
    </row>
    <row r="295" spans="1:9" ht="15.75">
      <c r="A295" s="545"/>
      <c r="B295" s="551" t="s">
        <v>293</v>
      </c>
      <c r="C295" s="545"/>
      <c r="D295" s="545" t="s">
        <v>39</v>
      </c>
      <c r="E295" s="545">
        <v>4</v>
      </c>
      <c r="F295" s="545" t="s">
        <v>204</v>
      </c>
      <c r="G295" s="546">
        <v>32000</v>
      </c>
      <c r="H295" s="546">
        <f t="shared" si="4"/>
        <v>128000</v>
      </c>
      <c r="I295" s="584"/>
    </row>
    <row r="296" spans="1:9" ht="15.75">
      <c r="A296" s="545"/>
      <c r="B296" s="551" t="s">
        <v>294</v>
      </c>
      <c r="C296" s="545" t="s">
        <v>295</v>
      </c>
      <c r="D296" s="545" t="s">
        <v>39</v>
      </c>
      <c r="E296" s="545">
        <v>3</v>
      </c>
      <c r="F296" s="545" t="s">
        <v>296</v>
      </c>
      <c r="G296" s="546">
        <v>52000</v>
      </c>
      <c r="H296" s="546">
        <f t="shared" si="4"/>
        <v>156000</v>
      </c>
      <c r="I296" s="584"/>
    </row>
    <row r="297" spans="1:9" ht="15.75">
      <c r="A297" s="545"/>
      <c r="B297" s="551" t="s">
        <v>55</v>
      </c>
      <c r="C297" s="545"/>
      <c r="D297" s="545" t="s">
        <v>39</v>
      </c>
      <c r="E297" s="545">
        <v>15</v>
      </c>
      <c r="F297" s="545" t="s">
        <v>44</v>
      </c>
      <c r="G297" s="546">
        <v>13000</v>
      </c>
      <c r="H297" s="546">
        <f t="shared" si="4"/>
        <v>195000</v>
      </c>
      <c r="I297" s="584"/>
    </row>
    <row r="298" spans="1:9" ht="15.75">
      <c r="A298" s="545"/>
      <c r="B298" s="551" t="s">
        <v>923</v>
      </c>
      <c r="C298" s="545" t="s">
        <v>924</v>
      </c>
      <c r="D298" s="545" t="s">
        <v>39</v>
      </c>
      <c r="E298" s="545">
        <v>48</v>
      </c>
      <c r="F298" s="545" t="s">
        <v>111</v>
      </c>
      <c r="G298" s="546">
        <v>3300</v>
      </c>
      <c r="H298" s="546">
        <f t="shared" si="4"/>
        <v>158400</v>
      </c>
      <c r="I298" s="584"/>
    </row>
    <row r="299" spans="1:9" ht="15.75">
      <c r="A299" s="542" t="s">
        <v>297</v>
      </c>
      <c r="B299" s="552" t="s">
        <v>800</v>
      </c>
      <c r="C299" s="542"/>
      <c r="D299" s="542"/>
      <c r="E299" s="542"/>
      <c r="F299" s="542"/>
      <c r="G299" s="563"/>
      <c r="H299" s="546">
        <f t="shared" si="4"/>
        <v>0</v>
      </c>
      <c r="I299" s="542"/>
    </row>
    <row r="300" spans="1:9" ht="15.75">
      <c r="A300" s="542" t="s">
        <v>139</v>
      </c>
      <c r="B300" s="552" t="s">
        <v>925</v>
      </c>
      <c r="C300" s="542"/>
      <c r="D300" s="542"/>
      <c r="E300" s="542"/>
      <c r="F300" s="542"/>
      <c r="G300" s="563"/>
      <c r="H300" s="546">
        <f t="shared" si="4"/>
        <v>0</v>
      </c>
      <c r="I300" s="542"/>
    </row>
    <row r="301" spans="1:9" ht="15.75">
      <c r="A301" s="542">
        <v>1</v>
      </c>
      <c r="B301" s="552" t="s">
        <v>926</v>
      </c>
      <c r="C301" s="542"/>
      <c r="D301" s="542"/>
      <c r="E301" s="542"/>
      <c r="F301" s="542"/>
      <c r="G301" s="563"/>
      <c r="H301" s="546">
        <f t="shared" si="4"/>
        <v>0</v>
      </c>
      <c r="I301" s="542"/>
    </row>
    <row r="302" spans="1:9" ht="15.75">
      <c r="A302" s="545"/>
      <c r="B302" s="551" t="s">
        <v>300</v>
      </c>
      <c r="C302" s="545" t="s">
        <v>301</v>
      </c>
      <c r="D302" s="545" t="s">
        <v>39</v>
      </c>
      <c r="E302" s="545">
        <f>2+2+1+1</f>
        <v>6</v>
      </c>
      <c r="F302" s="545" t="s">
        <v>146</v>
      </c>
      <c r="G302" s="546">
        <v>20500</v>
      </c>
      <c r="H302" s="546">
        <f t="shared" si="4"/>
        <v>123000</v>
      </c>
      <c r="I302" s="542"/>
    </row>
    <row r="303" spans="1:9" ht="15.75">
      <c r="A303" s="545"/>
      <c r="B303" s="551" t="s">
        <v>580</v>
      </c>
      <c r="C303" s="545"/>
      <c r="D303" s="545" t="s">
        <v>39</v>
      </c>
      <c r="E303" s="545">
        <v>3</v>
      </c>
      <c r="F303" s="545" t="s">
        <v>93</v>
      </c>
      <c r="G303" s="546">
        <v>684000</v>
      </c>
      <c r="H303" s="546">
        <f t="shared" si="4"/>
        <v>2052000</v>
      </c>
      <c r="I303" s="542"/>
    </row>
    <row r="304" spans="1:9" ht="31.5">
      <c r="A304" s="542">
        <v>2</v>
      </c>
      <c r="B304" s="552" t="s">
        <v>927</v>
      </c>
      <c r="C304" s="542"/>
      <c r="D304" s="542"/>
      <c r="E304" s="542"/>
      <c r="F304" s="542"/>
      <c r="G304" s="563"/>
      <c r="H304" s="546">
        <f t="shared" si="4"/>
        <v>0</v>
      </c>
      <c r="I304" s="542"/>
    </row>
    <row r="305" spans="1:9" ht="15.75">
      <c r="A305" s="545"/>
      <c r="B305" s="551" t="s">
        <v>300</v>
      </c>
      <c r="C305" s="545" t="s">
        <v>928</v>
      </c>
      <c r="D305" s="545" t="s">
        <v>39</v>
      </c>
      <c r="E305" s="545">
        <v>10</v>
      </c>
      <c r="F305" s="545" t="s">
        <v>146</v>
      </c>
      <c r="G305" s="546">
        <v>8500</v>
      </c>
      <c r="H305" s="546">
        <f t="shared" si="4"/>
        <v>85000</v>
      </c>
      <c r="I305" s="542"/>
    </row>
    <row r="306" spans="1:9" ht="31.5">
      <c r="A306" s="542">
        <v>3</v>
      </c>
      <c r="B306" s="552" t="s">
        <v>929</v>
      </c>
      <c r="C306" s="542"/>
      <c r="D306" s="542"/>
      <c r="E306" s="542"/>
      <c r="F306" s="542"/>
      <c r="G306" s="563"/>
      <c r="H306" s="546">
        <f t="shared" si="4"/>
        <v>0</v>
      </c>
      <c r="I306" s="542"/>
    </row>
    <row r="307" spans="1:9" ht="15.75">
      <c r="A307" s="545"/>
      <c r="B307" s="551" t="s">
        <v>300</v>
      </c>
      <c r="C307" s="545" t="s">
        <v>845</v>
      </c>
      <c r="D307" s="545" t="s">
        <v>39</v>
      </c>
      <c r="E307" s="545">
        <f>3+3</f>
        <v>6</v>
      </c>
      <c r="F307" s="545" t="s">
        <v>146</v>
      </c>
      <c r="G307" s="546">
        <v>20500</v>
      </c>
      <c r="H307" s="546">
        <f t="shared" si="4"/>
        <v>123000</v>
      </c>
      <c r="I307" s="584"/>
    </row>
    <row r="308" spans="1:9" ht="15.75">
      <c r="A308" s="545"/>
      <c r="B308" s="551" t="s">
        <v>580</v>
      </c>
      <c r="C308" s="545"/>
      <c r="D308" s="545"/>
      <c r="E308" s="545">
        <v>0.08</v>
      </c>
      <c r="F308" s="545" t="s">
        <v>93</v>
      </c>
      <c r="G308" s="546">
        <v>684000</v>
      </c>
      <c r="H308" s="546">
        <f t="shared" si="4"/>
        <v>54720</v>
      </c>
      <c r="I308" s="542"/>
    </row>
    <row r="309" spans="1:9" ht="15.75">
      <c r="A309" s="542" t="s">
        <v>139</v>
      </c>
      <c r="B309" s="552" t="s">
        <v>930</v>
      </c>
      <c r="C309" s="542"/>
      <c r="D309" s="542"/>
      <c r="E309" s="542"/>
      <c r="F309" s="542"/>
      <c r="G309" s="563"/>
      <c r="H309" s="546">
        <f t="shared" si="4"/>
        <v>0</v>
      </c>
      <c r="I309" s="542"/>
    </row>
    <row r="310" spans="1:9" ht="15.75">
      <c r="A310" s="542">
        <v>1</v>
      </c>
      <c r="B310" s="552" t="s">
        <v>931</v>
      </c>
      <c r="C310" s="542"/>
      <c r="D310" s="542"/>
      <c r="E310" s="542"/>
      <c r="F310" s="542"/>
      <c r="G310" s="563"/>
      <c r="H310" s="546">
        <f t="shared" si="4"/>
        <v>0</v>
      </c>
      <c r="I310" s="542"/>
    </row>
    <row r="311" spans="1:9" ht="15.75">
      <c r="A311" s="545"/>
      <c r="B311" s="551" t="s">
        <v>932</v>
      </c>
      <c r="C311" s="545" t="s">
        <v>933</v>
      </c>
      <c r="D311" s="545" t="s">
        <v>312</v>
      </c>
      <c r="E311" s="545">
        <v>1</v>
      </c>
      <c r="F311" s="545" t="s">
        <v>934</v>
      </c>
      <c r="G311" s="546">
        <f>144000*1.1</f>
        <v>158400</v>
      </c>
      <c r="H311" s="546">
        <f t="shared" si="4"/>
        <v>158400</v>
      </c>
      <c r="I311" s="584"/>
    </row>
    <row r="312" spans="1:9" ht="15.75">
      <c r="A312" s="545"/>
      <c r="B312" s="551" t="s">
        <v>932</v>
      </c>
      <c r="C312" s="545" t="s">
        <v>935</v>
      </c>
      <c r="D312" s="545" t="s">
        <v>312</v>
      </c>
      <c r="E312" s="545">
        <v>1</v>
      </c>
      <c r="F312" s="545" t="s">
        <v>934</v>
      </c>
      <c r="G312" s="546">
        <v>330000</v>
      </c>
      <c r="H312" s="546">
        <f t="shared" si="4"/>
        <v>330000</v>
      </c>
      <c r="I312" s="584"/>
    </row>
    <row r="313" spans="1:9" ht="15.75">
      <c r="A313" s="542">
        <v>2</v>
      </c>
      <c r="B313" s="552" t="s">
        <v>936</v>
      </c>
      <c r="C313" s="542"/>
      <c r="D313" s="542"/>
      <c r="E313" s="542"/>
      <c r="F313" s="542"/>
      <c r="G313" s="563"/>
      <c r="H313" s="546">
        <f t="shared" si="4"/>
        <v>0</v>
      </c>
      <c r="I313" s="588"/>
    </row>
    <row r="314" spans="1:9" ht="15.75">
      <c r="A314" s="545"/>
      <c r="B314" s="551" t="s">
        <v>932</v>
      </c>
      <c r="C314" s="545" t="s">
        <v>937</v>
      </c>
      <c r="D314" s="545" t="s">
        <v>312</v>
      </c>
      <c r="E314" s="545">
        <v>2</v>
      </c>
      <c r="F314" s="545" t="s">
        <v>934</v>
      </c>
      <c r="G314" s="546">
        <f>72000*1.1</f>
        <v>79200</v>
      </c>
      <c r="H314" s="546">
        <f t="shared" si="4"/>
        <v>158400</v>
      </c>
      <c r="I314" s="584"/>
    </row>
    <row r="315" spans="1:9" ht="15.75">
      <c r="A315" s="545"/>
      <c r="B315" s="551" t="s">
        <v>932</v>
      </c>
      <c r="C315" s="545" t="s">
        <v>938</v>
      </c>
      <c r="D315" s="545" t="s">
        <v>312</v>
      </c>
      <c r="E315" s="545">
        <v>2</v>
      </c>
      <c r="F315" s="545" t="s">
        <v>934</v>
      </c>
      <c r="G315" s="546">
        <f>96000*1.1</f>
        <v>105600.00000000001</v>
      </c>
      <c r="H315" s="546">
        <f t="shared" si="4"/>
        <v>211200.00000000003</v>
      </c>
      <c r="I315" s="584"/>
    </row>
    <row r="316" spans="1:9" ht="15.75">
      <c r="A316" s="542">
        <v>3</v>
      </c>
      <c r="B316" s="552" t="s">
        <v>939</v>
      </c>
      <c r="C316" s="542"/>
      <c r="D316" s="542"/>
      <c r="E316" s="542"/>
      <c r="F316" s="542"/>
      <c r="G316" s="563"/>
      <c r="H316" s="546">
        <f t="shared" si="4"/>
        <v>0</v>
      </c>
      <c r="I316" s="588"/>
    </row>
    <row r="317" spans="1:9" ht="15.75">
      <c r="A317" s="545"/>
      <c r="B317" s="551" t="s">
        <v>932</v>
      </c>
      <c r="C317" s="545">
        <v>6311</v>
      </c>
      <c r="D317" s="545" t="s">
        <v>312</v>
      </c>
      <c r="E317" s="545">
        <v>1</v>
      </c>
      <c r="F317" s="545" t="s">
        <v>934</v>
      </c>
      <c r="G317" s="546">
        <f>645000*1.1</f>
        <v>709500</v>
      </c>
      <c r="H317" s="546">
        <f t="shared" si="4"/>
        <v>709500</v>
      </c>
      <c r="I317" s="584"/>
    </row>
    <row r="318" spans="1:9" ht="31.5">
      <c r="A318" s="542">
        <v>4</v>
      </c>
      <c r="B318" s="552" t="s">
        <v>940</v>
      </c>
      <c r="C318" s="542"/>
      <c r="D318" s="542"/>
      <c r="E318" s="542"/>
      <c r="F318" s="542"/>
      <c r="G318" s="563"/>
      <c r="H318" s="546">
        <f t="shared" si="4"/>
        <v>0</v>
      </c>
      <c r="I318" s="588"/>
    </row>
    <row r="319" spans="1:9" ht="15.75">
      <c r="A319" s="545"/>
      <c r="B319" s="551" t="s">
        <v>932</v>
      </c>
      <c r="C319" s="545">
        <v>6203</v>
      </c>
      <c r="D319" s="545" t="s">
        <v>312</v>
      </c>
      <c r="E319" s="545">
        <v>1</v>
      </c>
      <c r="F319" s="545" t="s">
        <v>934</v>
      </c>
      <c r="G319" s="546">
        <f>72000*1.1</f>
        <v>79200</v>
      </c>
      <c r="H319" s="546">
        <f t="shared" si="4"/>
        <v>79200</v>
      </c>
      <c r="I319" s="584"/>
    </row>
    <row r="320" spans="1:9" ht="15.75">
      <c r="A320" s="545"/>
      <c r="B320" s="551" t="s">
        <v>932</v>
      </c>
      <c r="C320" s="545">
        <v>6205</v>
      </c>
      <c r="D320" s="545" t="s">
        <v>312</v>
      </c>
      <c r="E320" s="545">
        <v>1</v>
      </c>
      <c r="F320" s="545" t="s">
        <v>934</v>
      </c>
      <c r="G320" s="546">
        <f>72000*1.1</f>
        <v>79200</v>
      </c>
      <c r="H320" s="546">
        <f t="shared" si="4"/>
        <v>79200</v>
      </c>
      <c r="I320" s="584"/>
    </row>
    <row r="321" spans="1:9" ht="15.75">
      <c r="A321" s="542" t="s">
        <v>139</v>
      </c>
      <c r="B321" s="552" t="s">
        <v>941</v>
      </c>
      <c r="C321" s="542"/>
      <c r="D321" s="542"/>
      <c r="E321" s="542"/>
      <c r="F321" s="542"/>
      <c r="G321" s="563"/>
      <c r="H321" s="546">
        <f t="shared" si="4"/>
        <v>0</v>
      </c>
      <c r="I321" s="542"/>
    </row>
    <row r="322" spans="1:9" ht="31.5">
      <c r="A322" s="542">
        <v>1</v>
      </c>
      <c r="B322" s="552" t="s">
        <v>942</v>
      </c>
      <c r="C322" s="542"/>
      <c r="D322" s="542"/>
      <c r="E322" s="542"/>
      <c r="F322" s="542"/>
      <c r="G322" s="563"/>
      <c r="H322" s="546">
        <f t="shared" si="4"/>
        <v>0</v>
      </c>
      <c r="I322" s="542"/>
    </row>
    <row r="323" spans="1:9" ht="15.75">
      <c r="A323" s="545"/>
      <c r="B323" s="551" t="s">
        <v>943</v>
      </c>
      <c r="C323" s="545" t="s">
        <v>944</v>
      </c>
      <c r="D323" s="545" t="s">
        <v>39</v>
      </c>
      <c r="E323" s="545">
        <v>2</v>
      </c>
      <c r="F323" s="545" t="s">
        <v>146</v>
      </c>
      <c r="G323" s="546">
        <f>300000*1.3*1.1</f>
        <v>429000.00000000006</v>
      </c>
      <c r="H323" s="546">
        <f t="shared" si="4"/>
        <v>858000.00000000012</v>
      </c>
      <c r="I323" s="584"/>
    </row>
    <row r="324" spans="1:9" ht="15.75">
      <c r="A324" s="545"/>
      <c r="B324" s="551" t="s">
        <v>945</v>
      </c>
      <c r="C324" s="545" t="s">
        <v>946</v>
      </c>
      <c r="D324" s="545" t="s">
        <v>39</v>
      </c>
      <c r="E324" s="545">
        <v>2</v>
      </c>
      <c r="F324" s="545" t="s">
        <v>111</v>
      </c>
      <c r="G324" s="546">
        <v>132000</v>
      </c>
      <c r="H324" s="546">
        <f t="shared" si="4"/>
        <v>264000</v>
      </c>
      <c r="I324" s="584"/>
    </row>
    <row r="325" spans="1:9" ht="15.75">
      <c r="A325" s="545"/>
      <c r="B325" s="551" t="s">
        <v>874</v>
      </c>
      <c r="C325" s="545" t="s">
        <v>919</v>
      </c>
      <c r="D325" s="545" t="s">
        <v>39</v>
      </c>
      <c r="E325" s="545">
        <v>8</v>
      </c>
      <c r="F325" s="545" t="s">
        <v>146</v>
      </c>
      <c r="G325" s="546">
        <v>16500</v>
      </c>
      <c r="H325" s="546">
        <f t="shared" si="4"/>
        <v>132000</v>
      </c>
      <c r="I325" s="584"/>
    </row>
    <row r="326" spans="1:9" ht="15.75">
      <c r="A326" s="545"/>
      <c r="B326" s="551" t="s">
        <v>874</v>
      </c>
      <c r="C326" s="545" t="s">
        <v>947</v>
      </c>
      <c r="D326" s="545" t="s">
        <v>39</v>
      </c>
      <c r="E326" s="545">
        <v>8</v>
      </c>
      <c r="F326" s="545" t="s">
        <v>146</v>
      </c>
      <c r="G326" s="546">
        <v>18500</v>
      </c>
      <c r="H326" s="546">
        <f t="shared" si="4"/>
        <v>148000</v>
      </c>
      <c r="I326" s="584"/>
    </row>
    <row r="327" spans="1:9" ht="15.75">
      <c r="A327" s="545"/>
      <c r="B327" s="551" t="s">
        <v>874</v>
      </c>
      <c r="C327" s="545" t="s">
        <v>948</v>
      </c>
      <c r="D327" s="545" t="s">
        <v>39</v>
      </c>
      <c r="E327" s="545">
        <v>8</v>
      </c>
      <c r="F327" s="545" t="s">
        <v>146</v>
      </c>
      <c r="G327" s="546">
        <v>20500</v>
      </c>
      <c r="H327" s="546">
        <f t="shared" si="4"/>
        <v>164000</v>
      </c>
      <c r="I327" s="584"/>
    </row>
    <row r="328" spans="1:9" ht="31.5">
      <c r="A328" s="542">
        <v>2</v>
      </c>
      <c r="B328" s="552" t="s">
        <v>949</v>
      </c>
      <c r="C328" s="542"/>
      <c r="D328" s="542"/>
      <c r="E328" s="542"/>
      <c r="F328" s="542"/>
      <c r="G328" s="563"/>
      <c r="H328" s="546">
        <f t="shared" si="4"/>
        <v>0</v>
      </c>
      <c r="I328" s="588"/>
    </row>
    <row r="329" spans="1:9" ht="15.75">
      <c r="A329" s="545"/>
      <c r="B329" s="551" t="s">
        <v>943</v>
      </c>
      <c r="C329" s="545" t="s">
        <v>950</v>
      </c>
      <c r="D329" s="545" t="s">
        <v>39</v>
      </c>
      <c r="E329" s="545">
        <v>2</v>
      </c>
      <c r="F329" s="545" t="s">
        <v>146</v>
      </c>
      <c r="G329" s="546">
        <v>1072500</v>
      </c>
      <c r="H329" s="546">
        <f t="shared" si="4"/>
        <v>2145000</v>
      </c>
      <c r="I329" s="584"/>
    </row>
    <row r="330" spans="1:9" ht="15.75">
      <c r="A330" s="545"/>
      <c r="B330" s="551" t="s">
        <v>945</v>
      </c>
      <c r="C330" s="545" t="s">
        <v>951</v>
      </c>
      <c r="D330" s="545" t="s">
        <v>39</v>
      </c>
      <c r="E330" s="545">
        <v>2</v>
      </c>
      <c r="F330" s="545" t="s">
        <v>111</v>
      </c>
      <c r="G330" s="546">
        <v>115000</v>
      </c>
      <c r="H330" s="546">
        <f t="shared" si="4"/>
        <v>230000</v>
      </c>
      <c r="I330" s="584"/>
    </row>
    <row r="331" spans="1:9" ht="15.75">
      <c r="A331" s="545"/>
      <c r="B331" s="551" t="s">
        <v>874</v>
      </c>
      <c r="C331" s="545" t="s">
        <v>952</v>
      </c>
      <c r="D331" s="545" t="s">
        <v>39</v>
      </c>
      <c r="E331" s="545">
        <v>8</v>
      </c>
      <c r="F331" s="545" t="s">
        <v>146</v>
      </c>
      <c r="G331" s="546">
        <v>21500</v>
      </c>
      <c r="H331" s="546">
        <f t="shared" si="4"/>
        <v>172000</v>
      </c>
      <c r="I331" s="584"/>
    </row>
    <row r="332" spans="1:9" ht="15.75">
      <c r="A332" s="545"/>
      <c r="B332" s="551" t="s">
        <v>874</v>
      </c>
      <c r="C332" s="545" t="s">
        <v>920</v>
      </c>
      <c r="D332" s="545" t="s">
        <v>39</v>
      </c>
      <c r="E332" s="545">
        <v>16</v>
      </c>
      <c r="F332" s="545" t="s">
        <v>146</v>
      </c>
      <c r="G332" s="546">
        <v>18500</v>
      </c>
      <c r="H332" s="546">
        <f t="shared" si="4"/>
        <v>296000</v>
      </c>
      <c r="I332" s="584"/>
    </row>
    <row r="333" spans="1:9" ht="15.75">
      <c r="A333" s="542">
        <v>3</v>
      </c>
      <c r="B333" s="552" t="s">
        <v>953</v>
      </c>
      <c r="C333" s="542"/>
      <c r="D333" s="542"/>
      <c r="E333" s="542"/>
      <c r="F333" s="542"/>
      <c r="G333" s="563"/>
      <c r="H333" s="546">
        <f t="shared" ref="H333:H342" si="5">G333*E333</f>
        <v>0</v>
      </c>
      <c r="I333" s="588"/>
    </row>
    <row r="334" spans="1:9" ht="15.75">
      <c r="A334" s="545"/>
      <c r="B334" s="551" t="s">
        <v>943</v>
      </c>
      <c r="C334" s="545" t="s">
        <v>950</v>
      </c>
      <c r="D334" s="545" t="s">
        <v>39</v>
      </c>
      <c r="E334" s="545">
        <v>2</v>
      </c>
      <c r="F334" s="545" t="s">
        <v>146</v>
      </c>
      <c r="G334" s="546">
        <v>1072500</v>
      </c>
      <c r="H334" s="546">
        <f t="shared" si="5"/>
        <v>2145000</v>
      </c>
      <c r="I334" s="584"/>
    </row>
    <row r="335" spans="1:9" ht="15.75">
      <c r="A335" s="545"/>
      <c r="B335" s="551" t="s">
        <v>945</v>
      </c>
      <c r="C335" s="545" t="s">
        <v>951</v>
      </c>
      <c r="D335" s="545" t="s">
        <v>39</v>
      </c>
      <c r="E335" s="545">
        <v>2</v>
      </c>
      <c r="F335" s="545" t="s">
        <v>111</v>
      </c>
      <c r="G335" s="546">
        <v>115000</v>
      </c>
      <c r="H335" s="546">
        <f t="shared" si="5"/>
        <v>230000</v>
      </c>
      <c r="I335" s="584"/>
    </row>
    <row r="336" spans="1:9" ht="15.75">
      <c r="A336" s="545"/>
      <c r="B336" s="551" t="s">
        <v>874</v>
      </c>
      <c r="C336" s="545" t="s">
        <v>952</v>
      </c>
      <c r="D336" s="545" t="s">
        <v>39</v>
      </c>
      <c r="E336" s="545">
        <v>8</v>
      </c>
      <c r="F336" s="545" t="s">
        <v>146</v>
      </c>
      <c r="G336" s="546">
        <v>21500</v>
      </c>
      <c r="H336" s="546">
        <f t="shared" si="5"/>
        <v>172000</v>
      </c>
      <c r="I336" s="584"/>
    </row>
    <row r="337" spans="1:9" ht="15.75">
      <c r="A337" s="545"/>
      <c r="B337" s="551" t="s">
        <v>874</v>
      </c>
      <c r="C337" s="545" t="s">
        <v>886</v>
      </c>
      <c r="D337" s="545" t="s">
        <v>39</v>
      </c>
      <c r="E337" s="545">
        <v>16</v>
      </c>
      <c r="F337" s="545" t="s">
        <v>146</v>
      </c>
      <c r="G337" s="546">
        <v>21500</v>
      </c>
      <c r="H337" s="546">
        <f t="shared" si="5"/>
        <v>344000</v>
      </c>
      <c r="I337" s="584"/>
    </row>
    <row r="338" spans="1:9" ht="15.75">
      <c r="A338" s="542">
        <v>4</v>
      </c>
      <c r="B338" s="552" t="s">
        <v>954</v>
      </c>
      <c r="C338" s="542"/>
      <c r="D338" s="542"/>
      <c r="E338" s="542"/>
      <c r="F338" s="542"/>
      <c r="G338" s="579"/>
      <c r="H338" s="568">
        <f t="shared" si="5"/>
        <v>0</v>
      </c>
      <c r="I338" s="569"/>
    </row>
    <row r="339" spans="1:9" ht="15.75">
      <c r="A339" s="576"/>
      <c r="B339" s="577" t="s">
        <v>943</v>
      </c>
      <c r="C339" s="576" t="s">
        <v>950</v>
      </c>
      <c r="D339" s="576" t="s">
        <v>39</v>
      </c>
      <c r="E339" s="576">
        <v>2</v>
      </c>
      <c r="F339" s="576" t="s">
        <v>146</v>
      </c>
      <c r="G339" s="578">
        <f>750000*1.3*1.1</f>
        <v>1072500</v>
      </c>
      <c r="H339" s="578">
        <f t="shared" si="5"/>
        <v>2145000</v>
      </c>
      <c r="I339" s="592"/>
    </row>
    <row r="340" spans="1:9" ht="15.75">
      <c r="A340" s="545"/>
      <c r="B340" s="551" t="s">
        <v>945</v>
      </c>
      <c r="C340" s="545" t="s">
        <v>946</v>
      </c>
      <c r="D340" s="545" t="s">
        <v>39</v>
      </c>
      <c r="E340" s="545">
        <v>2</v>
      </c>
      <c r="F340" s="545" t="s">
        <v>111</v>
      </c>
      <c r="G340" s="546">
        <v>132000</v>
      </c>
      <c r="H340" s="546">
        <f t="shared" si="5"/>
        <v>264000</v>
      </c>
      <c r="I340" s="584"/>
    </row>
    <row r="341" spans="1:9" ht="15.75">
      <c r="A341" s="545"/>
      <c r="B341" s="551" t="s">
        <v>874</v>
      </c>
      <c r="C341" s="545" t="s">
        <v>947</v>
      </c>
      <c r="D341" s="545" t="s">
        <v>39</v>
      </c>
      <c r="E341" s="545">
        <v>8</v>
      </c>
      <c r="F341" s="545" t="s">
        <v>146</v>
      </c>
      <c r="G341" s="546">
        <v>18500</v>
      </c>
      <c r="H341" s="546">
        <f t="shared" si="5"/>
        <v>148000</v>
      </c>
      <c r="I341" s="584"/>
    </row>
    <row r="342" spans="1:9" ht="15.75">
      <c r="A342" s="567"/>
      <c r="B342" s="575" t="s">
        <v>874</v>
      </c>
      <c r="C342" s="567" t="s">
        <v>920</v>
      </c>
      <c r="D342" s="567" t="s">
        <v>39</v>
      </c>
      <c r="E342" s="567">
        <v>16</v>
      </c>
      <c r="F342" s="567" t="s">
        <v>146</v>
      </c>
      <c r="G342" s="568">
        <v>18500</v>
      </c>
      <c r="H342" s="568">
        <f t="shared" si="5"/>
        <v>296000</v>
      </c>
      <c r="I342" s="593"/>
    </row>
    <row r="343" spans="1:9" ht="15.75" hidden="1">
      <c r="A343" s="570" t="s">
        <v>302</v>
      </c>
      <c r="B343" s="571" t="s">
        <v>955</v>
      </c>
      <c r="C343" s="572"/>
      <c r="D343" s="572"/>
      <c r="E343" s="572">
        <v>1</v>
      </c>
      <c r="F343" s="572" t="s">
        <v>303</v>
      </c>
      <c r="G343" s="573"/>
      <c r="H343" s="574">
        <f>H10+H189</f>
        <v>0</v>
      </c>
      <c r="I343" s="574"/>
    </row>
  </sheetData>
  <autoFilter ref="A9:I343" xr:uid="{C1D8B221-97A1-4A06-B7FE-8498B5B378E0}"/>
  <mergeCells count="6">
    <mergeCell ref="A7:F7"/>
    <mergeCell ref="A1:B1"/>
    <mergeCell ref="A2:B2"/>
    <mergeCell ref="A4:F4"/>
    <mergeCell ref="A5:F5"/>
    <mergeCell ref="A6:F6"/>
  </mergeCells>
  <pageMargins left="0.7" right="0.38" top="0.59" bottom="0.53"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3"/>
  <sheetViews>
    <sheetView workbookViewId="0">
      <selection activeCell="A7" sqref="A7:F7"/>
    </sheetView>
  </sheetViews>
  <sheetFormatPr defaultColWidth="8.7109375" defaultRowHeight="15"/>
  <cols>
    <col min="1" max="1" width="5.42578125" style="38" customWidth="1"/>
    <col min="2" max="2" width="46.5703125" style="38" customWidth="1"/>
    <col min="3" max="3" width="18.85546875" style="38" customWidth="1"/>
    <col min="4" max="4" width="11.85546875" style="38" customWidth="1"/>
    <col min="5" max="5" width="8" style="38" customWidth="1"/>
    <col min="6" max="6" width="7.42578125" style="38" customWidth="1"/>
    <col min="7" max="8" width="19" style="38" hidden="1" customWidth="1"/>
    <col min="9" max="9" width="19" style="38" customWidth="1"/>
    <col min="10" max="16384" width="8.7109375" style="38"/>
  </cols>
  <sheetData>
    <row r="1" spans="1:8" ht="15.75">
      <c r="A1" s="851" t="s">
        <v>83</v>
      </c>
      <c r="B1" s="851"/>
      <c r="C1" s="37"/>
      <c r="D1" s="37"/>
      <c r="E1" s="37"/>
    </row>
    <row r="2" spans="1:8" ht="15.75">
      <c r="A2" s="852" t="s">
        <v>0</v>
      </c>
      <c r="B2" s="852"/>
      <c r="C2" s="37"/>
      <c r="D2" s="37"/>
      <c r="E2" s="37"/>
    </row>
    <row r="3" spans="1:8" ht="15.75">
      <c r="A3" s="37"/>
      <c r="B3" s="37"/>
      <c r="C3" s="37"/>
      <c r="D3" s="37"/>
      <c r="E3" s="37"/>
    </row>
    <row r="4" spans="1:8" ht="18" customHeight="1">
      <c r="A4" s="853" t="s">
        <v>959</v>
      </c>
      <c r="B4" s="853"/>
      <c r="C4" s="853"/>
      <c r="D4" s="853"/>
      <c r="E4" s="853"/>
      <c r="F4" s="853"/>
    </row>
    <row r="5" spans="1:8" ht="18.75">
      <c r="A5" s="853" t="s">
        <v>84</v>
      </c>
      <c r="B5" s="853"/>
      <c r="C5" s="853"/>
      <c r="D5" s="853"/>
      <c r="E5" s="853"/>
      <c r="F5" s="853"/>
    </row>
    <row r="6" spans="1:8" ht="18.75">
      <c r="A6" s="853" t="s">
        <v>958</v>
      </c>
      <c r="B6" s="853"/>
      <c r="C6" s="853"/>
      <c r="D6" s="853"/>
      <c r="E6" s="853"/>
      <c r="F6" s="853"/>
    </row>
    <row r="7" spans="1:8" ht="16.5">
      <c r="A7" s="844" t="s">
        <v>1926</v>
      </c>
      <c r="B7" s="844"/>
      <c r="C7" s="844"/>
      <c r="D7" s="844"/>
      <c r="E7" s="844"/>
      <c r="F7" s="844"/>
    </row>
    <row r="9" spans="1:8" ht="28.5">
      <c r="A9" s="59" t="s">
        <v>1</v>
      </c>
      <c r="B9" s="59" t="s">
        <v>2</v>
      </c>
      <c r="C9" s="59" t="s">
        <v>3</v>
      </c>
      <c r="D9" s="59" t="s">
        <v>4</v>
      </c>
      <c r="E9" s="59" t="s">
        <v>88</v>
      </c>
      <c r="F9" s="59" t="s">
        <v>5</v>
      </c>
      <c r="G9" s="40"/>
      <c r="H9" s="40"/>
    </row>
    <row r="10" spans="1:8" ht="15.75">
      <c r="A10" s="426" t="s">
        <v>6</v>
      </c>
      <c r="B10" s="427" t="s">
        <v>306</v>
      </c>
      <c r="C10" s="428"/>
      <c r="D10" s="428"/>
      <c r="E10" s="429"/>
      <c r="F10" s="430"/>
      <c r="G10" s="96"/>
      <c r="H10" s="96"/>
    </row>
    <row r="11" spans="1:8" ht="15.75">
      <c r="A11" s="431" t="s">
        <v>89</v>
      </c>
      <c r="B11" s="432" t="s">
        <v>90</v>
      </c>
      <c r="C11" s="433"/>
      <c r="D11" s="433"/>
      <c r="E11" s="434"/>
      <c r="F11" s="435"/>
      <c r="G11" s="98"/>
      <c r="H11" s="99"/>
    </row>
    <row r="12" spans="1:8" ht="45">
      <c r="A12" s="433">
        <v>1</v>
      </c>
      <c r="B12" s="436" t="s">
        <v>1859</v>
      </c>
      <c r="C12" s="433"/>
      <c r="D12" s="433"/>
      <c r="E12" s="434" t="s">
        <v>93</v>
      </c>
      <c r="F12" s="437">
        <v>235</v>
      </c>
      <c r="G12" s="98"/>
      <c r="H12" s="99"/>
    </row>
    <row r="13" spans="1:8" ht="45">
      <c r="A13" s="433"/>
      <c r="B13" s="438" t="s">
        <v>964</v>
      </c>
      <c r="C13" s="433"/>
      <c r="D13" s="433"/>
      <c r="E13" s="437" t="s">
        <v>93</v>
      </c>
      <c r="F13" s="437">
        <v>235</v>
      </c>
      <c r="G13" s="99">
        <v>145900</v>
      </c>
      <c r="H13" s="99">
        <f t="shared" ref="H13:H61" si="0">F13*G13</f>
        <v>34286500</v>
      </c>
    </row>
    <row r="14" spans="1:8" ht="30">
      <c r="A14" s="433"/>
      <c r="B14" s="439" t="s">
        <v>965</v>
      </c>
      <c r="C14" s="433"/>
      <c r="D14" s="433"/>
      <c r="E14" s="437"/>
      <c r="F14" s="437"/>
      <c r="G14" s="99">
        <v>0</v>
      </c>
      <c r="H14" s="99">
        <f t="shared" si="0"/>
        <v>0</v>
      </c>
    </row>
    <row r="15" spans="1:8" ht="15.75">
      <c r="A15" s="433"/>
      <c r="B15" s="438" t="s">
        <v>966</v>
      </c>
      <c r="C15" s="433"/>
      <c r="D15" s="433"/>
      <c r="E15" s="437" t="s">
        <v>93</v>
      </c>
      <c r="F15" s="437">
        <f>F12</f>
        <v>235</v>
      </c>
      <c r="G15" s="99">
        <v>13900</v>
      </c>
      <c r="H15" s="99">
        <f t="shared" si="0"/>
        <v>3266500</v>
      </c>
    </row>
    <row r="16" spans="1:8" ht="28.5">
      <c r="A16" s="433">
        <v>2</v>
      </c>
      <c r="B16" s="432" t="s">
        <v>967</v>
      </c>
      <c r="C16" s="433"/>
      <c r="D16" s="433"/>
      <c r="E16" s="440" t="s">
        <v>93</v>
      </c>
      <c r="F16" s="434">
        <v>297.2</v>
      </c>
      <c r="G16" s="99">
        <v>0</v>
      </c>
      <c r="H16" s="99">
        <f t="shared" si="0"/>
        <v>0</v>
      </c>
    </row>
    <row r="17" spans="1:8" ht="30">
      <c r="A17" s="433"/>
      <c r="B17" s="438" t="s">
        <v>968</v>
      </c>
      <c r="C17" s="433"/>
      <c r="D17" s="433"/>
      <c r="E17" s="437" t="s">
        <v>93</v>
      </c>
      <c r="F17" s="437">
        <v>208.1</v>
      </c>
      <c r="G17" s="99">
        <v>13900</v>
      </c>
      <c r="H17" s="99">
        <f t="shared" si="0"/>
        <v>2892590</v>
      </c>
    </row>
    <row r="18" spans="1:8" ht="30">
      <c r="A18" s="433"/>
      <c r="B18" s="441" t="s">
        <v>969</v>
      </c>
      <c r="C18" s="433"/>
      <c r="D18" s="433"/>
      <c r="E18" s="437" t="s">
        <v>970</v>
      </c>
      <c r="F18" s="437">
        <v>200</v>
      </c>
      <c r="G18" s="99">
        <v>36500</v>
      </c>
      <c r="H18" s="99">
        <f t="shared" si="0"/>
        <v>7300000</v>
      </c>
    </row>
    <row r="19" spans="1:8" ht="15.75">
      <c r="A19" s="433"/>
      <c r="B19" s="441" t="s">
        <v>971</v>
      </c>
      <c r="C19" s="433"/>
      <c r="D19" s="433"/>
      <c r="E19" s="437" t="s">
        <v>32</v>
      </c>
      <c r="F19" s="437">
        <v>3</v>
      </c>
      <c r="G19" s="99">
        <v>1823700</v>
      </c>
      <c r="H19" s="99">
        <f t="shared" si="0"/>
        <v>5471100</v>
      </c>
    </row>
    <row r="20" spans="1:8" ht="30">
      <c r="A20" s="433"/>
      <c r="B20" s="441" t="s">
        <v>972</v>
      </c>
      <c r="C20" s="433"/>
      <c r="D20" s="433"/>
      <c r="E20" s="437" t="s">
        <v>63</v>
      </c>
      <c r="F20" s="437">
        <v>3</v>
      </c>
      <c r="G20" s="99">
        <v>500000</v>
      </c>
      <c r="H20" s="99">
        <f t="shared" si="0"/>
        <v>1500000</v>
      </c>
    </row>
    <row r="21" spans="1:8" ht="15.75">
      <c r="A21" s="433"/>
      <c r="B21" s="442" t="s">
        <v>973</v>
      </c>
      <c r="C21" s="433"/>
      <c r="D21" s="433"/>
      <c r="E21" s="437"/>
      <c r="F21" s="437"/>
      <c r="G21" s="99">
        <v>0</v>
      </c>
      <c r="H21" s="99">
        <f t="shared" si="0"/>
        <v>0</v>
      </c>
    </row>
    <row r="22" spans="1:8" ht="30">
      <c r="A22" s="433"/>
      <c r="B22" s="441" t="s">
        <v>974</v>
      </c>
      <c r="C22" s="433"/>
      <c r="D22" s="433"/>
      <c r="E22" s="437" t="s">
        <v>93</v>
      </c>
      <c r="F22" s="437">
        <v>50</v>
      </c>
      <c r="G22" s="99">
        <v>380500</v>
      </c>
      <c r="H22" s="99">
        <f t="shared" si="0"/>
        <v>19025000</v>
      </c>
    </row>
    <row r="23" spans="1:8" ht="15.75">
      <c r="A23" s="431" t="s">
        <v>101</v>
      </c>
      <c r="B23" s="432" t="s">
        <v>975</v>
      </c>
      <c r="C23" s="433"/>
      <c r="D23" s="433"/>
      <c r="E23" s="434"/>
      <c r="F23" s="437"/>
      <c r="G23" s="99">
        <v>0</v>
      </c>
      <c r="H23" s="99">
        <f t="shared" si="0"/>
        <v>0</v>
      </c>
    </row>
    <row r="24" spans="1:8" ht="28.5">
      <c r="A24" s="443"/>
      <c r="B24" s="432" t="s">
        <v>976</v>
      </c>
      <c r="C24" s="433"/>
      <c r="D24" s="433"/>
      <c r="E24" s="437"/>
      <c r="F24" s="437"/>
      <c r="G24" s="99">
        <v>0</v>
      </c>
      <c r="H24" s="99">
        <f t="shared" si="0"/>
        <v>0</v>
      </c>
    </row>
    <row r="25" spans="1:8" ht="57">
      <c r="A25" s="443">
        <v>1</v>
      </c>
      <c r="B25" s="444" t="s">
        <v>977</v>
      </c>
      <c r="C25" s="433"/>
      <c r="D25" s="433"/>
      <c r="E25" s="437" t="s">
        <v>32</v>
      </c>
      <c r="F25" s="437">
        <v>1</v>
      </c>
      <c r="G25" s="99">
        <v>1230200</v>
      </c>
      <c r="H25" s="99">
        <f t="shared" si="0"/>
        <v>1230200</v>
      </c>
    </row>
    <row r="26" spans="1:8" ht="30">
      <c r="A26" s="443"/>
      <c r="B26" s="438" t="s">
        <v>978</v>
      </c>
      <c r="C26" s="433"/>
      <c r="D26" s="433"/>
      <c r="E26" s="437" t="s">
        <v>32</v>
      </c>
      <c r="F26" s="437">
        <v>1</v>
      </c>
      <c r="G26" s="99">
        <v>131200</v>
      </c>
      <c r="H26" s="99">
        <f t="shared" si="0"/>
        <v>131200</v>
      </c>
    </row>
    <row r="27" spans="1:8" ht="30">
      <c r="A27" s="443"/>
      <c r="B27" s="438" t="s">
        <v>979</v>
      </c>
      <c r="C27" s="433"/>
      <c r="D27" s="433"/>
      <c r="E27" s="437" t="s">
        <v>32</v>
      </c>
      <c r="F27" s="437">
        <v>1</v>
      </c>
      <c r="G27" s="99">
        <v>131200</v>
      </c>
      <c r="H27" s="99">
        <f t="shared" si="0"/>
        <v>131200</v>
      </c>
    </row>
    <row r="28" spans="1:8" ht="30">
      <c r="A28" s="443"/>
      <c r="B28" s="438" t="s">
        <v>980</v>
      </c>
      <c r="C28" s="433"/>
      <c r="D28" s="433"/>
      <c r="E28" s="437" t="s">
        <v>32</v>
      </c>
      <c r="F28" s="437">
        <v>1</v>
      </c>
      <c r="G28" s="99">
        <v>1230200</v>
      </c>
      <c r="H28" s="99">
        <f t="shared" si="0"/>
        <v>1230200</v>
      </c>
    </row>
    <row r="29" spans="1:8" ht="15.75">
      <c r="A29" s="443"/>
      <c r="B29" s="445" t="s">
        <v>981</v>
      </c>
      <c r="C29" s="433"/>
      <c r="D29" s="433"/>
      <c r="E29" s="437"/>
      <c r="F29" s="437"/>
      <c r="G29" s="99">
        <v>0</v>
      </c>
      <c r="H29" s="99">
        <f t="shared" si="0"/>
        <v>0</v>
      </c>
    </row>
    <row r="30" spans="1:8" ht="30">
      <c r="A30" s="443"/>
      <c r="B30" s="446" t="s">
        <v>982</v>
      </c>
      <c r="C30" s="433"/>
      <c r="D30" s="433"/>
      <c r="E30" s="437" t="s">
        <v>111</v>
      </c>
      <c r="F30" s="437">
        <v>1</v>
      </c>
      <c r="G30" s="99">
        <v>1230200</v>
      </c>
      <c r="H30" s="99">
        <f t="shared" si="0"/>
        <v>1230200</v>
      </c>
    </row>
    <row r="31" spans="1:8" ht="30">
      <c r="A31" s="443"/>
      <c r="B31" s="446" t="s">
        <v>983</v>
      </c>
      <c r="C31" s="433"/>
      <c r="D31" s="433"/>
      <c r="E31" s="437" t="s">
        <v>111</v>
      </c>
      <c r="F31" s="437">
        <v>1</v>
      </c>
      <c r="G31" s="99">
        <v>1230200</v>
      </c>
      <c r="H31" s="99">
        <f t="shared" si="0"/>
        <v>1230200</v>
      </c>
    </row>
    <row r="32" spans="1:8" ht="15.75">
      <c r="A32" s="443" t="s">
        <v>126</v>
      </c>
      <c r="B32" s="447" t="s">
        <v>341</v>
      </c>
      <c r="C32" s="433"/>
      <c r="D32" s="433"/>
      <c r="E32" s="448"/>
      <c r="F32" s="437"/>
      <c r="G32" s="99">
        <v>0</v>
      </c>
      <c r="H32" s="99">
        <f t="shared" si="0"/>
        <v>0</v>
      </c>
    </row>
    <row r="33" spans="1:8" ht="28.5">
      <c r="A33" s="449">
        <v>1</v>
      </c>
      <c r="B33" s="101" t="s">
        <v>985</v>
      </c>
      <c r="C33" s="433"/>
      <c r="D33" s="433"/>
      <c r="E33" s="448" t="s">
        <v>26</v>
      </c>
      <c r="F33" s="434">
        <v>2</v>
      </c>
      <c r="G33" s="99">
        <f>23018100/2</f>
        <v>11509050</v>
      </c>
      <c r="H33" s="99">
        <f t="shared" si="0"/>
        <v>23018100</v>
      </c>
    </row>
    <row r="34" spans="1:8" ht="30">
      <c r="A34" s="449" t="s">
        <v>8</v>
      </c>
      <c r="B34" s="100" t="s">
        <v>986</v>
      </c>
      <c r="C34" s="433"/>
      <c r="D34" s="433"/>
      <c r="E34" s="448"/>
      <c r="F34" s="437"/>
      <c r="G34" s="99">
        <v>0</v>
      </c>
      <c r="H34" s="99">
        <f t="shared" si="0"/>
        <v>0</v>
      </c>
    </row>
    <row r="35" spans="1:8" ht="45">
      <c r="A35" s="449" t="s">
        <v>987</v>
      </c>
      <c r="B35" s="438" t="s">
        <v>1860</v>
      </c>
      <c r="C35" s="433"/>
      <c r="D35" s="433"/>
      <c r="E35" s="450"/>
      <c r="F35" s="437"/>
      <c r="G35" s="99">
        <v>0</v>
      </c>
      <c r="H35" s="99">
        <f t="shared" si="0"/>
        <v>0</v>
      </c>
    </row>
    <row r="36" spans="1:8" ht="75">
      <c r="A36" s="449">
        <v>2</v>
      </c>
      <c r="B36" s="451" t="s">
        <v>988</v>
      </c>
      <c r="C36" s="433"/>
      <c r="D36" s="433"/>
      <c r="E36" s="452" t="s">
        <v>134</v>
      </c>
      <c r="F36" s="437">
        <v>2</v>
      </c>
      <c r="G36" s="99">
        <v>2790100</v>
      </c>
      <c r="H36" s="99">
        <f t="shared" si="0"/>
        <v>5580200</v>
      </c>
    </row>
    <row r="37" spans="1:8" ht="60">
      <c r="A37" s="449">
        <v>3</v>
      </c>
      <c r="B37" s="451" t="s">
        <v>989</v>
      </c>
      <c r="C37" s="433"/>
      <c r="D37" s="433"/>
      <c r="E37" s="452" t="s">
        <v>134</v>
      </c>
      <c r="F37" s="437">
        <v>2</v>
      </c>
      <c r="G37" s="99">
        <v>1500000</v>
      </c>
      <c r="H37" s="99">
        <f t="shared" si="0"/>
        <v>3000000</v>
      </c>
    </row>
    <row r="38" spans="1:8" ht="15.75">
      <c r="A38" s="431" t="s">
        <v>147</v>
      </c>
      <c r="B38" s="432" t="s">
        <v>127</v>
      </c>
      <c r="C38" s="433"/>
      <c r="D38" s="433"/>
      <c r="E38" s="437"/>
      <c r="F38" s="437"/>
      <c r="G38" s="99">
        <v>0</v>
      </c>
      <c r="H38" s="99">
        <f t="shared" si="0"/>
        <v>0</v>
      </c>
    </row>
    <row r="39" spans="1:8" ht="15.75">
      <c r="A39" s="443" t="s">
        <v>153</v>
      </c>
      <c r="B39" s="378" t="s">
        <v>327</v>
      </c>
      <c r="C39" s="433"/>
      <c r="D39" s="433"/>
      <c r="E39" s="456"/>
      <c r="F39" s="437"/>
      <c r="G39" s="99">
        <v>0</v>
      </c>
      <c r="H39" s="99">
        <f t="shared" si="0"/>
        <v>0</v>
      </c>
    </row>
    <row r="40" spans="1:8" ht="15.75">
      <c r="A40" s="443">
        <v>1</v>
      </c>
      <c r="B40" s="436" t="s">
        <v>997</v>
      </c>
      <c r="C40" s="433"/>
      <c r="D40" s="433"/>
      <c r="E40" s="448"/>
      <c r="F40" s="437"/>
      <c r="G40" s="99">
        <v>0</v>
      </c>
      <c r="H40" s="99">
        <f t="shared" si="0"/>
        <v>0</v>
      </c>
    </row>
    <row r="41" spans="1:8" ht="15.75">
      <c r="A41" s="443"/>
      <c r="B41" s="457" t="s">
        <v>1861</v>
      </c>
      <c r="C41" s="433"/>
      <c r="D41" s="433"/>
      <c r="E41" s="458"/>
      <c r="F41" s="437"/>
      <c r="G41" s="99">
        <v>0</v>
      </c>
      <c r="H41" s="99">
        <f t="shared" si="0"/>
        <v>0</v>
      </c>
    </row>
    <row r="42" spans="1:8" ht="45">
      <c r="A42" s="443"/>
      <c r="B42" s="100" t="s">
        <v>998</v>
      </c>
      <c r="C42" s="433"/>
      <c r="D42" s="433"/>
      <c r="E42" s="437" t="s">
        <v>111</v>
      </c>
      <c r="F42" s="437">
        <v>5</v>
      </c>
      <c r="G42" s="99">
        <v>1978400</v>
      </c>
      <c r="H42" s="99">
        <f t="shared" si="0"/>
        <v>9892000</v>
      </c>
    </row>
    <row r="43" spans="1:8" ht="60">
      <c r="A43" s="449"/>
      <c r="B43" s="459" t="s">
        <v>999</v>
      </c>
      <c r="C43" s="433"/>
      <c r="D43" s="433"/>
      <c r="E43" s="437" t="s">
        <v>111</v>
      </c>
      <c r="F43" s="437">
        <v>4</v>
      </c>
      <c r="G43" s="99">
        <v>570700</v>
      </c>
      <c r="H43" s="99">
        <f t="shared" si="0"/>
        <v>2282800</v>
      </c>
    </row>
    <row r="44" spans="1:8" ht="15.75">
      <c r="A44" s="443"/>
      <c r="B44" s="460" t="s">
        <v>1000</v>
      </c>
      <c r="C44" s="433"/>
      <c r="D44" s="433"/>
      <c r="E44" s="437"/>
      <c r="F44" s="437"/>
      <c r="G44" s="99">
        <v>0</v>
      </c>
      <c r="H44" s="99">
        <f t="shared" si="0"/>
        <v>0</v>
      </c>
    </row>
    <row r="45" spans="1:8" ht="15.75">
      <c r="A45" s="443"/>
      <c r="B45" s="453" t="s">
        <v>1001</v>
      </c>
      <c r="C45" s="433"/>
      <c r="D45" s="433"/>
      <c r="E45" s="458" t="s">
        <v>93</v>
      </c>
      <c r="F45" s="437">
        <v>10</v>
      </c>
      <c r="G45" s="99">
        <v>190200</v>
      </c>
      <c r="H45" s="99">
        <f t="shared" si="0"/>
        <v>1902000</v>
      </c>
    </row>
    <row r="46" spans="1:8" ht="45">
      <c r="A46" s="443"/>
      <c r="B46" s="100" t="s">
        <v>1002</v>
      </c>
      <c r="C46" s="433"/>
      <c r="D46" s="433"/>
      <c r="E46" s="437" t="s">
        <v>111</v>
      </c>
      <c r="F46" s="437">
        <f>2.5</f>
        <v>2.5</v>
      </c>
      <c r="G46" s="99">
        <v>1978400</v>
      </c>
      <c r="H46" s="99">
        <f t="shared" si="0"/>
        <v>4946000</v>
      </c>
    </row>
    <row r="47" spans="1:8" ht="15.75">
      <c r="A47" s="443"/>
      <c r="B47" s="461" t="s">
        <v>1004</v>
      </c>
      <c r="C47" s="433"/>
      <c r="D47" s="433"/>
      <c r="E47" s="437" t="s">
        <v>63</v>
      </c>
      <c r="F47" s="437">
        <v>26</v>
      </c>
      <c r="G47" s="99">
        <v>133200</v>
      </c>
      <c r="H47" s="99">
        <f t="shared" si="0"/>
        <v>3463200</v>
      </c>
    </row>
    <row r="48" spans="1:8" ht="30">
      <c r="A48" s="443"/>
      <c r="B48" s="100" t="s">
        <v>1005</v>
      </c>
      <c r="C48" s="433"/>
      <c r="D48" s="433"/>
      <c r="E48" s="437"/>
      <c r="F48" s="437"/>
      <c r="G48" s="99">
        <v>0</v>
      </c>
      <c r="H48" s="99">
        <f t="shared" si="0"/>
        <v>0</v>
      </c>
    </row>
    <row r="49" spans="1:8" ht="15.75">
      <c r="A49" s="433" t="s">
        <v>297</v>
      </c>
      <c r="B49" s="442" t="s">
        <v>1006</v>
      </c>
      <c r="C49" s="433"/>
      <c r="D49" s="433"/>
      <c r="E49" s="454"/>
      <c r="F49" s="437"/>
      <c r="G49" s="99">
        <v>0</v>
      </c>
      <c r="H49" s="99">
        <f t="shared" si="0"/>
        <v>0</v>
      </c>
    </row>
    <row r="50" spans="1:8" ht="15.75">
      <c r="A50" s="433">
        <v>1</v>
      </c>
      <c r="B50" s="462" t="s">
        <v>155</v>
      </c>
      <c r="C50" s="433"/>
      <c r="D50" s="433"/>
      <c r="E50" s="463"/>
      <c r="F50" s="437"/>
      <c r="G50" s="99">
        <v>0</v>
      </c>
      <c r="H50" s="99">
        <f t="shared" si="0"/>
        <v>0</v>
      </c>
    </row>
    <row r="51" spans="1:8" ht="60">
      <c r="A51" s="433"/>
      <c r="B51" s="439" t="s">
        <v>1007</v>
      </c>
      <c r="C51" s="433"/>
      <c r="D51" s="433"/>
      <c r="E51" s="437" t="s">
        <v>111</v>
      </c>
      <c r="F51" s="437">
        <v>2</v>
      </c>
      <c r="G51" s="99">
        <v>1640200</v>
      </c>
      <c r="H51" s="99">
        <f t="shared" si="0"/>
        <v>3280400</v>
      </c>
    </row>
    <row r="52" spans="1:8" ht="30">
      <c r="A52" s="433"/>
      <c r="B52" s="439" t="s">
        <v>1008</v>
      </c>
      <c r="C52" s="433"/>
      <c r="D52" s="433"/>
      <c r="E52" s="437" t="s">
        <v>111</v>
      </c>
      <c r="F52" s="437">
        <v>2</v>
      </c>
      <c r="G52" s="99">
        <v>523100</v>
      </c>
      <c r="H52" s="99">
        <f t="shared" si="0"/>
        <v>1046200</v>
      </c>
    </row>
    <row r="53" spans="1:8" ht="15.75">
      <c r="A53" s="433">
        <v>2</v>
      </c>
      <c r="B53" s="442" t="s">
        <v>1009</v>
      </c>
      <c r="C53" s="433"/>
      <c r="D53" s="433"/>
      <c r="E53" s="437"/>
      <c r="F53" s="437"/>
      <c r="G53" s="99">
        <v>0</v>
      </c>
      <c r="H53" s="99">
        <f t="shared" si="0"/>
        <v>0</v>
      </c>
    </row>
    <row r="54" spans="1:8" ht="30">
      <c r="A54" s="433"/>
      <c r="B54" s="441" t="s">
        <v>1010</v>
      </c>
      <c r="C54" s="433"/>
      <c r="D54" s="433"/>
      <c r="E54" s="437" t="s">
        <v>111</v>
      </c>
      <c r="F54" s="437">
        <v>2</v>
      </c>
      <c r="G54" s="99">
        <v>697500</v>
      </c>
      <c r="H54" s="99">
        <f t="shared" si="0"/>
        <v>1395000</v>
      </c>
    </row>
    <row r="55" spans="1:8" ht="15.75">
      <c r="A55" s="433">
        <v>3</v>
      </c>
      <c r="B55" s="464" t="s">
        <v>17</v>
      </c>
      <c r="C55" s="433"/>
      <c r="D55" s="433"/>
      <c r="E55" s="463"/>
      <c r="F55" s="437"/>
      <c r="G55" s="99">
        <v>0</v>
      </c>
      <c r="H55" s="99">
        <f t="shared" si="0"/>
        <v>0</v>
      </c>
    </row>
    <row r="56" spans="1:8" ht="30">
      <c r="A56" s="433"/>
      <c r="B56" s="439" t="s">
        <v>1011</v>
      </c>
      <c r="C56" s="433"/>
      <c r="D56" s="433"/>
      <c r="E56" s="437" t="s">
        <v>111</v>
      </c>
      <c r="F56" s="437">
        <v>2</v>
      </c>
      <c r="G56" s="99">
        <v>2663200</v>
      </c>
      <c r="H56" s="99">
        <f t="shared" si="0"/>
        <v>5326400</v>
      </c>
    </row>
    <row r="57" spans="1:8" ht="15.75">
      <c r="A57" s="443">
        <v>4</v>
      </c>
      <c r="B57" s="442" t="s">
        <v>1012</v>
      </c>
      <c r="C57" s="433"/>
      <c r="D57" s="433"/>
      <c r="E57" s="437" t="s">
        <v>111</v>
      </c>
      <c r="F57" s="437">
        <v>2</v>
      </c>
      <c r="G57" s="99">
        <v>0</v>
      </c>
      <c r="H57" s="99">
        <f t="shared" si="0"/>
        <v>0</v>
      </c>
    </row>
    <row r="58" spans="1:8" ht="30">
      <c r="A58" s="443"/>
      <c r="B58" s="441" t="s">
        <v>1013</v>
      </c>
      <c r="C58" s="433"/>
      <c r="D58" s="433"/>
      <c r="E58" s="465" t="s">
        <v>1014</v>
      </c>
      <c r="F58" s="437">
        <v>2</v>
      </c>
      <c r="G58" s="99">
        <v>5580100</v>
      </c>
      <c r="H58" s="99">
        <f t="shared" si="0"/>
        <v>11160200</v>
      </c>
    </row>
    <row r="59" spans="1:8" ht="45">
      <c r="A59" s="443"/>
      <c r="B59" s="441" t="s">
        <v>1015</v>
      </c>
      <c r="C59" s="433"/>
      <c r="D59" s="433"/>
      <c r="E59" s="465" t="s">
        <v>1014</v>
      </c>
      <c r="F59" s="437">
        <v>2</v>
      </c>
      <c r="G59" s="99">
        <v>5580100</v>
      </c>
      <c r="H59" s="99">
        <f t="shared" si="0"/>
        <v>11160200</v>
      </c>
    </row>
    <row r="60" spans="1:8" ht="15.75">
      <c r="A60" s="433"/>
      <c r="B60" s="466" t="s">
        <v>1016</v>
      </c>
      <c r="C60" s="433"/>
      <c r="D60" s="433"/>
      <c r="E60" s="437"/>
      <c r="F60" s="437"/>
      <c r="G60" s="99">
        <v>0</v>
      </c>
      <c r="H60" s="99">
        <f t="shared" si="0"/>
        <v>0</v>
      </c>
    </row>
    <row r="61" spans="1:8" ht="30">
      <c r="A61" s="433"/>
      <c r="B61" s="441" t="s">
        <v>1010</v>
      </c>
      <c r="C61" s="433"/>
      <c r="D61" s="433"/>
      <c r="E61" s="437" t="s">
        <v>1017</v>
      </c>
      <c r="F61" s="437">
        <v>2</v>
      </c>
      <c r="G61" s="99">
        <v>174400</v>
      </c>
      <c r="H61" s="99">
        <f t="shared" si="0"/>
        <v>348800</v>
      </c>
    </row>
    <row r="62" spans="1:8" ht="30">
      <c r="A62" s="455">
        <v>1</v>
      </c>
      <c r="B62" s="467" t="s">
        <v>1018</v>
      </c>
      <c r="C62" s="468"/>
      <c r="D62" s="469"/>
      <c r="E62" s="463" t="s">
        <v>15</v>
      </c>
      <c r="F62" s="437">
        <v>1</v>
      </c>
      <c r="G62" s="99">
        <v>1500000</v>
      </c>
      <c r="H62" s="99">
        <f>F62*G62</f>
        <v>1500000</v>
      </c>
    </row>
    <row r="63" spans="1:8" ht="15.75">
      <c r="A63" s="434" t="s">
        <v>37</v>
      </c>
      <c r="B63" s="470" t="s">
        <v>305</v>
      </c>
      <c r="C63" s="434"/>
      <c r="D63" s="434"/>
      <c r="E63" s="434"/>
      <c r="F63" s="437"/>
      <c r="G63" s="103">
        <v>0</v>
      </c>
      <c r="H63" s="97"/>
    </row>
    <row r="64" spans="1:8" ht="15.75">
      <c r="A64" s="434" t="s">
        <v>89</v>
      </c>
      <c r="B64" s="471" t="s">
        <v>90</v>
      </c>
      <c r="C64" s="437"/>
      <c r="D64" s="465"/>
      <c r="E64" s="463"/>
      <c r="F64" s="437"/>
      <c r="G64" s="103">
        <v>0</v>
      </c>
      <c r="H64" s="103"/>
    </row>
    <row r="65" spans="1:8" ht="28.5">
      <c r="A65" s="102">
        <v>1</v>
      </c>
      <c r="B65" s="472" t="s">
        <v>967</v>
      </c>
      <c r="C65" s="102" t="s">
        <v>1019</v>
      </c>
      <c r="D65" s="465"/>
      <c r="E65" s="463"/>
      <c r="F65" s="437"/>
      <c r="G65" s="103">
        <v>0</v>
      </c>
      <c r="H65" s="103"/>
    </row>
    <row r="66" spans="1:8" ht="45">
      <c r="A66" s="456"/>
      <c r="B66" s="473" t="s">
        <v>1020</v>
      </c>
      <c r="C66" s="437"/>
      <c r="D66" s="474" t="s">
        <v>812</v>
      </c>
      <c r="E66" s="102" t="s">
        <v>170</v>
      </c>
      <c r="F66" s="437">
        <f>124-90</f>
        <v>34</v>
      </c>
      <c r="G66" s="103">
        <v>232200</v>
      </c>
      <c r="H66" s="103">
        <f>F66*G66</f>
        <v>7894800</v>
      </c>
    </row>
    <row r="67" spans="1:8" ht="15.75">
      <c r="A67" s="434">
        <v>2</v>
      </c>
      <c r="B67" s="471" t="s">
        <v>973</v>
      </c>
      <c r="C67" s="475"/>
      <c r="D67" s="476"/>
      <c r="E67" s="477"/>
      <c r="F67" s="434"/>
      <c r="G67" s="97">
        <v>0</v>
      </c>
      <c r="H67" s="97">
        <f>F67*G67</f>
        <v>0</v>
      </c>
    </row>
    <row r="68" spans="1:8" ht="15.75">
      <c r="A68" s="434"/>
      <c r="B68" s="478" t="s">
        <v>1021</v>
      </c>
      <c r="C68" s="479" t="s">
        <v>846</v>
      </c>
      <c r="D68" s="479" t="s">
        <v>1022</v>
      </c>
      <c r="E68" s="463" t="s">
        <v>204</v>
      </c>
      <c r="F68" s="437">
        <f>3*0.8</f>
        <v>2.4000000000000004</v>
      </c>
      <c r="G68" s="103">
        <v>419400</v>
      </c>
      <c r="H68" s="103">
        <f>F68*G68</f>
        <v>1006560.0000000001</v>
      </c>
    </row>
    <row r="69" spans="1:8" ht="15.75">
      <c r="A69" s="434"/>
      <c r="B69" s="478" t="s">
        <v>1023</v>
      </c>
      <c r="C69" s="480"/>
      <c r="D69" s="465"/>
      <c r="E69" s="463" t="s">
        <v>59</v>
      </c>
      <c r="F69" s="437">
        <f>3*3.5</f>
        <v>10.5</v>
      </c>
      <c r="G69" s="103">
        <v>243200</v>
      </c>
      <c r="H69" s="103">
        <f>F69*G69</f>
        <v>2553600</v>
      </c>
    </row>
    <row r="70" spans="1:8" ht="15.75">
      <c r="A70" s="434"/>
      <c r="B70" s="478" t="s">
        <v>1024</v>
      </c>
      <c r="C70" s="437" t="s">
        <v>285</v>
      </c>
      <c r="D70" s="465"/>
      <c r="E70" s="463" t="s">
        <v>446</v>
      </c>
      <c r="F70" s="437">
        <v>12</v>
      </c>
      <c r="G70" s="103">
        <v>25500</v>
      </c>
      <c r="H70" s="103">
        <f>F70*G70</f>
        <v>306000</v>
      </c>
    </row>
    <row r="71" spans="1:8" ht="28.5">
      <c r="A71" s="434">
        <v>3</v>
      </c>
      <c r="B71" s="104" t="s">
        <v>1010</v>
      </c>
      <c r="C71" s="481"/>
      <c r="D71" s="476"/>
      <c r="E71" s="477"/>
      <c r="F71" s="434"/>
      <c r="G71" s="97"/>
      <c r="H71" s="97"/>
    </row>
    <row r="72" spans="1:8" ht="15.75">
      <c r="A72" s="434"/>
      <c r="B72" s="106" t="s">
        <v>1025</v>
      </c>
      <c r="C72" s="479" t="s">
        <v>1026</v>
      </c>
      <c r="D72" s="465" t="s">
        <v>39</v>
      </c>
      <c r="E72" s="463" t="s">
        <v>595</v>
      </c>
      <c r="F72" s="437">
        <v>68</v>
      </c>
      <c r="G72" s="103">
        <v>322200</v>
      </c>
      <c r="H72" s="103">
        <f t="shared" ref="H72:H80" si="1">F72*G72</f>
        <v>21909600</v>
      </c>
    </row>
    <row r="73" spans="1:8" ht="15.75">
      <c r="A73" s="434"/>
      <c r="B73" s="106" t="s">
        <v>1027</v>
      </c>
      <c r="C73" s="480"/>
      <c r="D73" s="465" t="s">
        <v>39</v>
      </c>
      <c r="E73" s="463" t="s">
        <v>204</v>
      </c>
      <c r="F73" s="437">
        <v>40</v>
      </c>
      <c r="G73" s="103">
        <v>24300</v>
      </c>
      <c r="H73" s="103">
        <f t="shared" si="1"/>
        <v>972000</v>
      </c>
    </row>
    <row r="74" spans="1:8" ht="15.75">
      <c r="A74" s="434"/>
      <c r="B74" s="106" t="s">
        <v>1028</v>
      </c>
      <c r="C74" s="479" t="s">
        <v>1029</v>
      </c>
      <c r="D74" s="465" t="s">
        <v>1030</v>
      </c>
      <c r="E74" s="437" t="s">
        <v>111</v>
      </c>
      <c r="F74" s="437">
        <v>30</v>
      </c>
      <c r="G74" s="103">
        <v>14600</v>
      </c>
      <c r="H74" s="103">
        <f t="shared" si="1"/>
        <v>438000</v>
      </c>
    </row>
    <row r="75" spans="1:8" ht="15.75">
      <c r="A75" s="434" t="s">
        <v>101</v>
      </c>
      <c r="B75" s="482" t="s">
        <v>1031</v>
      </c>
      <c r="C75" s="479"/>
      <c r="D75" s="437"/>
      <c r="E75" s="437"/>
      <c r="F75" s="437"/>
      <c r="G75" s="103">
        <v>0</v>
      </c>
      <c r="H75" s="103">
        <f t="shared" si="1"/>
        <v>0</v>
      </c>
    </row>
    <row r="76" spans="1:8" ht="28.5">
      <c r="A76" s="483"/>
      <c r="B76" s="484" t="s">
        <v>976</v>
      </c>
      <c r="C76" s="479"/>
      <c r="D76" s="454"/>
      <c r="E76" s="454"/>
      <c r="F76" s="437"/>
      <c r="G76" s="103">
        <v>0</v>
      </c>
      <c r="H76" s="103">
        <f t="shared" si="1"/>
        <v>0</v>
      </c>
    </row>
    <row r="77" spans="1:8" ht="15.75">
      <c r="A77" s="483"/>
      <c r="B77" s="104" t="s">
        <v>1032</v>
      </c>
      <c r="C77" s="480"/>
      <c r="D77" s="454"/>
      <c r="E77" s="454"/>
      <c r="F77" s="437"/>
      <c r="G77" s="103">
        <v>0</v>
      </c>
      <c r="H77" s="103">
        <f t="shared" si="1"/>
        <v>0</v>
      </c>
    </row>
    <row r="78" spans="1:8" ht="15.75">
      <c r="A78" s="483"/>
      <c r="B78" s="485" t="s">
        <v>1033</v>
      </c>
      <c r="C78" s="479"/>
      <c r="D78" s="454" t="s">
        <v>192</v>
      </c>
      <c r="E78" s="437" t="s">
        <v>63</v>
      </c>
      <c r="F78" s="437">
        <v>8</v>
      </c>
      <c r="G78" s="103">
        <v>224900</v>
      </c>
      <c r="H78" s="103">
        <f t="shared" si="1"/>
        <v>1799200</v>
      </c>
    </row>
    <row r="79" spans="1:8" ht="15.75">
      <c r="A79" s="483"/>
      <c r="B79" s="485" t="s">
        <v>1034</v>
      </c>
      <c r="C79" s="480"/>
      <c r="D79" s="454" t="s">
        <v>192</v>
      </c>
      <c r="E79" s="437" t="s">
        <v>111</v>
      </c>
      <c r="F79" s="437">
        <v>2</v>
      </c>
      <c r="G79" s="103">
        <v>1398100</v>
      </c>
      <c r="H79" s="103">
        <f t="shared" si="1"/>
        <v>2796200</v>
      </c>
    </row>
    <row r="80" spans="1:8" ht="45">
      <c r="A80" s="483"/>
      <c r="B80" s="486" t="s">
        <v>1035</v>
      </c>
      <c r="C80" s="479" t="s">
        <v>1036</v>
      </c>
      <c r="D80" s="454" t="s">
        <v>1037</v>
      </c>
      <c r="E80" s="454" t="s">
        <v>399</v>
      </c>
      <c r="F80" s="437">
        <v>1</v>
      </c>
      <c r="G80" s="103">
        <v>109420000</v>
      </c>
      <c r="H80" s="103">
        <f t="shared" si="1"/>
        <v>109420000</v>
      </c>
    </row>
    <row r="81" spans="1:8" ht="15.75">
      <c r="A81" s="434" t="s">
        <v>126</v>
      </c>
      <c r="B81" s="482" t="s">
        <v>1038</v>
      </c>
      <c r="C81" s="437"/>
      <c r="D81" s="437"/>
      <c r="E81" s="437"/>
      <c r="F81" s="437"/>
      <c r="G81" s="103"/>
      <c r="H81" s="103"/>
    </row>
    <row r="82" spans="1:8" ht="15.75">
      <c r="A82" s="437"/>
      <c r="B82" s="487" t="s">
        <v>1039</v>
      </c>
      <c r="C82" s="437"/>
      <c r="D82" s="437" t="s">
        <v>39</v>
      </c>
      <c r="E82" s="437" t="s">
        <v>170</v>
      </c>
      <c r="F82" s="437">
        <v>40</v>
      </c>
      <c r="G82" s="103">
        <v>182400</v>
      </c>
      <c r="H82" s="103">
        <f t="shared" ref="H82:H99" si="2">F82*G82</f>
        <v>7296000</v>
      </c>
    </row>
    <row r="83" spans="1:8" ht="15.75">
      <c r="A83" s="437"/>
      <c r="B83" s="487" t="s">
        <v>1040</v>
      </c>
      <c r="C83" s="437"/>
      <c r="D83" s="437" t="s">
        <v>39</v>
      </c>
      <c r="E83" s="437" t="s">
        <v>170</v>
      </c>
      <c r="F83" s="437">
        <v>6</v>
      </c>
      <c r="G83" s="103">
        <v>170200</v>
      </c>
      <c r="H83" s="103">
        <f t="shared" si="2"/>
        <v>1021200</v>
      </c>
    </row>
    <row r="84" spans="1:8" ht="15.75">
      <c r="A84" s="437"/>
      <c r="B84" s="487" t="s">
        <v>47</v>
      </c>
      <c r="C84" s="437"/>
      <c r="D84" s="437" t="s">
        <v>39</v>
      </c>
      <c r="E84" s="437" t="s">
        <v>595</v>
      </c>
      <c r="F84" s="437">
        <v>4</v>
      </c>
      <c r="G84" s="103">
        <v>111900</v>
      </c>
      <c r="H84" s="103">
        <f t="shared" si="2"/>
        <v>447600</v>
      </c>
    </row>
    <row r="85" spans="1:8" ht="15.75">
      <c r="A85" s="437"/>
      <c r="B85" s="487" t="s">
        <v>1041</v>
      </c>
      <c r="C85" s="437"/>
      <c r="D85" s="437" t="s">
        <v>192</v>
      </c>
      <c r="E85" s="437" t="s">
        <v>595</v>
      </c>
      <c r="F85" s="437">
        <v>5</v>
      </c>
      <c r="G85" s="103">
        <v>109400</v>
      </c>
      <c r="H85" s="103">
        <f t="shared" si="2"/>
        <v>547000</v>
      </c>
    </row>
    <row r="86" spans="1:8" ht="15.75">
      <c r="A86" s="437"/>
      <c r="B86" s="487" t="s">
        <v>45</v>
      </c>
      <c r="C86" s="437"/>
      <c r="D86" s="437" t="s">
        <v>192</v>
      </c>
      <c r="E86" s="437" t="s">
        <v>600</v>
      </c>
      <c r="F86" s="437">
        <v>2</v>
      </c>
      <c r="G86" s="103">
        <v>12200</v>
      </c>
      <c r="H86" s="103">
        <f t="shared" si="2"/>
        <v>24400</v>
      </c>
    </row>
    <row r="87" spans="1:8" ht="15.75">
      <c r="A87" s="488"/>
      <c r="B87" s="489" t="s">
        <v>1042</v>
      </c>
      <c r="C87" s="437"/>
      <c r="D87" s="490" t="s">
        <v>192</v>
      </c>
      <c r="E87" s="490" t="s">
        <v>204</v>
      </c>
      <c r="F87" s="437">
        <v>2</v>
      </c>
      <c r="G87" s="105">
        <v>50000</v>
      </c>
      <c r="H87" s="103">
        <f t="shared" si="2"/>
        <v>100000</v>
      </c>
    </row>
    <row r="88" spans="1:8" ht="15.75">
      <c r="A88" s="488"/>
      <c r="B88" s="489" t="s">
        <v>1043</v>
      </c>
      <c r="C88" s="437" t="s">
        <v>1044</v>
      </c>
      <c r="D88" s="490" t="s">
        <v>39</v>
      </c>
      <c r="E88" s="490" t="s">
        <v>146</v>
      </c>
      <c r="F88" s="437">
        <v>16</v>
      </c>
      <c r="G88" s="105">
        <v>12500</v>
      </c>
      <c r="H88" s="103">
        <f t="shared" si="2"/>
        <v>200000</v>
      </c>
    </row>
    <row r="89" spans="1:8" ht="15.75">
      <c r="A89" s="488"/>
      <c r="B89" s="489" t="s">
        <v>1045</v>
      </c>
      <c r="C89" s="437" t="s">
        <v>845</v>
      </c>
      <c r="D89" s="490" t="s">
        <v>39</v>
      </c>
      <c r="E89" s="490" t="s">
        <v>146</v>
      </c>
      <c r="F89" s="437">
        <v>8</v>
      </c>
      <c r="G89" s="105">
        <v>10000</v>
      </c>
      <c r="H89" s="103">
        <f t="shared" si="2"/>
        <v>80000</v>
      </c>
    </row>
    <row r="90" spans="1:8" ht="15.75">
      <c r="A90" s="488"/>
      <c r="B90" s="489" t="s">
        <v>1046</v>
      </c>
      <c r="C90" s="437" t="s">
        <v>1047</v>
      </c>
      <c r="D90" s="490" t="s">
        <v>39</v>
      </c>
      <c r="E90" s="490" t="s">
        <v>146</v>
      </c>
      <c r="F90" s="437">
        <v>20</v>
      </c>
      <c r="G90" s="105">
        <v>6500</v>
      </c>
      <c r="H90" s="103">
        <f t="shared" si="2"/>
        <v>130000</v>
      </c>
    </row>
    <row r="91" spans="1:8" ht="30">
      <c r="A91" s="434"/>
      <c r="B91" s="482" t="s">
        <v>1862</v>
      </c>
      <c r="C91" s="480"/>
      <c r="D91" s="437"/>
      <c r="E91" s="437"/>
      <c r="F91" s="437"/>
      <c r="G91" s="103">
        <v>0</v>
      </c>
      <c r="H91" s="103">
        <f t="shared" si="2"/>
        <v>0</v>
      </c>
    </row>
    <row r="92" spans="1:8" ht="15.75">
      <c r="A92" s="434"/>
      <c r="B92" s="487" t="s">
        <v>1048</v>
      </c>
      <c r="C92" s="437" t="s">
        <v>1049</v>
      </c>
      <c r="D92" s="437" t="s">
        <v>39</v>
      </c>
      <c r="E92" s="437" t="s">
        <v>111</v>
      </c>
      <c r="F92" s="437">
        <v>4</v>
      </c>
      <c r="G92" s="103">
        <v>425500</v>
      </c>
      <c r="H92" s="103">
        <f t="shared" si="2"/>
        <v>1702000</v>
      </c>
    </row>
    <row r="93" spans="1:8" ht="15.75">
      <c r="A93" s="434" t="s">
        <v>147</v>
      </c>
      <c r="B93" s="104" t="s">
        <v>1050</v>
      </c>
      <c r="C93" s="437"/>
      <c r="D93" s="437"/>
      <c r="E93" s="437"/>
      <c r="F93" s="437"/>
      <c r="G93" s="103">
        <v>0</v>
      </c>
      <c r="H93" s="103">
        <f t="shared" si="2"/>
        <v>0</v>
      </c>
    </row>
    <row r="94" spans="1:8" ht="28.5">
      <c r="A94" s="434"/>
      <c r="B94" s="470" t="s">
        <v>990</v>
      </c>
      <c r="C94" s="437"/>
      <c r="D94" s="437"/>
      <c r="E94" s="437"/>
      <c r="F94" s="437"/>
      <c r="G94" s="103">
        <v>0</v>
      </c>
      <c r="H94" s="103">
        <f t="shared" si="2"/>
        <v>0</v>
      </c>
    </row>
    <row r="95" spans="1:8" ht="15.75">
      <c r="A95" s="434"/>
      <c r="B95" s="491" t="s">
        <v>1051</v>
      </c>
      <c r="C95" s="437"/>
      <c r="D95" s="437"/>
      <c r="E95" s="437"/>
      <c r="F95" s="437"/>
      <c r="G95" s="103">
        <v>0</v>
      </c>
      <c r="H95" s="103">
        <f t="shared" si="2"/>
        <v>0</v>
      </c>
    </row>
    <row r="96" spans="1:8" ht="15.75">
      <c r="A96" s="437"/>
      <c r="B96" s="492" t="s">
        <v>1052</v>
      </c>
      <c r="C96" s="437" t="s">
        <v>1053</v>
      </c>
      <c r="D96" s="437" t="s">
        <v>192</v>
      </c>
      <c r="E96" s="437" t="s">
        <v>934</v>
      </c>
      <c r="F96" s="437">
        <v>8</v>
      </c>
      <c r="G96" s="103">
        <v>182400</v>
      </c>
      <c r="H96" s="103">
        <f t="shared" si="2"/>
        <v>1459200</v>
      </c>
    </row>
    <row r="97" spans="1:8" ht="15.75">
      <c r="A97" s="437"/>
      <c r="B97" s="492" t="s">
        <v>1054</v>
      </c>
      <c r="C97" s="437" t="s">
        <v>1055</v>
      </c>
      <c r="D97" s="437" t="s">
        <v>192</v>
      </c>
      <c r="E97" s="437" t="s">
        <v>934</v>
      </c>
      <c r="F97" s="437">
        <v>4</v>
      </c>
      <c r="G97" s="103">
        <v>218800</v>
      </c>
      <c r="H97" s="103">
        <f t="shared" si="2"/>
        <v>875200</v>
      </c>
    </row>
    <row r="98" spans="1:8" ht="28.5">
      <c r="A98" s="434"/>
      <c r="B98" s="472" t="s">
        <v>1056</v>
      </c>
      <c r="C98" s="437"/>
      <c r="D98" s="437" t="s">
        <v>1057</v>
      </c>
      <c r="E98" s="437" t="s">
        <v>111</v>
      </c>
      <c r="F98" s="437">
        <v>1</v>
      </c>
      <c r="G98" s="103">
        <v>0</v>
      </c>
      <c r="H98" s="103">
        <f t="shared" si="2"/>
        <v>0</v>
      </c>
    </row>
    <row r="99" spans="1:8" ht="15.75">
      <c r="A99" s="437"/>
      <c r="B99" s="492" t="s">
        <v>991</v>
      </c>
      <c r="C99" s="437"/>
      <c r="D99" s="437" t="s">
        <v>1057</v>
      </c>
      <c r="E99" s="437"/>
      <c r="F99" s="437"/>
      <c r="G99" s="103"/>
      <c r="H99" s="103">
        <f t="shared" si="2"/>
        <v>0</v>
      </c>
    </row>
    <row r="100" spans="1:8" ht="45">
      <c r="A100" s="434"/>
      <c r="B100" s="473" t="s">
        <v>1863</v>
      </c>
      <c r="C100" s="437" t="s">
        <v>1058</v>
      </c>
      <c r="D100" s="437" t="s">
        <v>1057</v>
      </c>
      <c r="E100" s="437" t="s">
        <v>111</v>
      </c>
      <c r="F100" s="437">
        <v>1</v>
      </c>
      <c r="G100" s="103">
        <v>73433000</v>
      </c>
      <c r="H100" s="103">
        <f>F100*G100</f>
        <v>73433000</v>
      </c>
    </row>
    <row r="101" spans="1:8" ht="28.5">
      <c r="A101" s="434"/>
      <c r="B101" s="472" t="s">
        <v>1059</v>
      </c>
      <c r="C101" s="437"/>
      <c r="D101" s="437" t="s">
        <v>1057</v>
      </c>
      <c r="E101" s="437"/>
      <c r="F101" s="437"/>
      <c r="G101" s="103">
        <v>0</v>
      </c>
      <c r="H101" s="103">
        <f t="shared" ref="H101:H155" si="3">F101*G101</f>
        <v>0</v>
      </c>
    </row>
    <row r="102" spans="1:8" ht="15.75">
      <c r="A102" s="434"/>
      <c r="B102" s="473" t="s">
        <v>992</v>
      </c>
      <c r="C102" s="437"/>
      <c r="D102" s="437" t="s">
        <v>1057</v>
      </c>
      <c r="E102" s="437" t="s">
        <v>993</v>
      </c>
      <c r="F102" s="437">
        <v>1</v>
      </c>
      <c r="G102" s="103">
        <v>109400000</v>
      </c>
      <c r="H102" s="103">
        <f t="shared" si="3"/>
        <v>109400000</v>
      </c>
    </row>
    <row r="103" spans="1:8" ht="28.5">
      <c r="A103" s="434"/>
      <c r="B103" s="493" t="s">
        <v>1060</v>
      </c>
      <c r="C103" s="102"/>
      <c r="D103" s="437"/>
      <c r="E103" s="465"/>
      <c r="F103" s="437"/>
      <c r="G103" s="103">
        <v>0</v>
      </c>
      <c r="H103" s="103">
        <f t="shared" si="3"/>
        <v>0</v>
      </c>
    </row>
    <row r="104" spans="1:8" ht="30">
      <c r="A104" s="434"/>
      <c r="B104" s="473" t="s">
        <v>1061</v>
      </c>
      <c r="C104" s="102" t="s">
        <v>1062</v>
      </c>
      <c r="D104" s="437" t="s">
        <v>39</v>
      </c>
      <c r="E104" s="437" t="s">
        <v>32</v>
      </c>
      <c r="F104" s="437">
        <v>1</v>
      </c>
      <c r="G104" s="103">
        <v>3510500</v>
      </c>
      <c r="H104" s="103">
        <f t="shared" si="3"/>
        <v>3510500</v>
      </c>
    </row>
    <row r="105" spans="1:8" ht="15.75">
      <c r="A105" s="434"/>
      <c r="B105" s="473" t="s">
        <v>1063</v>
      </c>
      <c r="C105" s="102" t="s">
        <v>1064</v>
      </c>
      <c r="D105" s="437" t="s">
        <v>39</v>
      </c>
      <c r="E105" s="437" t="s">
        <v>934</v>
      </c>
      <c r="F105" s="437">
        <v>1</v>
      </c>
      <c r="G105" s="103">
        <v>218800</v>
      </c>
      <c r="H105" s="103">
        <f t="shared" si="3"/>
        <v>218800</v>
      </c>
    </row>
    <row r="106" spans="1:8" ht="30">
      <c r="A106" s="434"/>
      <c r="B106" s="473" t="s">
        <v>1065</v>
      </c>
      <c r="C106" s="102" t="s">
        <v>1066</v>
      </c>
      <c r="D106" s="437" t="s">
        <v>39</v>
      </c>
      <c r="E106" s="437" t="s">
        <v>32</v>
      </c>
      <c r="F106" s="437">
        <v>12</v>
      </c>
      <c r="G106" s="103">
        <v>30100</v>
      </c>
      <c r="H106" s="103">
        <f t="shared" si="3"/>
        <v>361200</v>
      </c>
    </row>
    <row r="107" spans="1:8" ht="28.5">
      <c r="A107" s="434"/>
      <c r="B107" s="493" t="s">
        <v>1067</v>
      </c>
      <c r="C107" s="494"/>
      <c r="D107" s="437"/>
      <c r="E107" s="465"/>
      <c r="F107" s="437"/>
      <c r="G107" s="103">
        <v>0</v>
      </c>
      <c r="H107" s="103">
        <f t="shared" si="3"/>
        <v>0</v>
      </c>
    </row>
    <row r="108" spans="1:8" ht="30">
      <c r="A108" s="434"/>
      <c r="B108" s="486" t="s">
        <v>1068</v>
      </c>
      <c r="C108" s="494" t="s">
        <v>1069</v>
      </c>
      <c r="D108" s="437" t="s">
        <v>39</v>
      </c>
      <c r="E108" s="437" t="s">
        <v>32</v>
      </c>
      <c r="F108" s="437">
        <v>1</v>
      </c>
      <c r="G108" s="103">
        <v>3510500</v>
      </c>
      <c r="H108" s="103">
        <f t="shared" si="3"/>
        <v>3510500</v>
      </c>
    </row>
    <row r="109" spans="1:8" ht="30">
      <c r="A109" s="434"/>
      <c r="B109" s="495" t="s">
        <v>994</v>
      </c>
      <c r="C109" s="102" t="s">
        <v>1070</v>
      </c>
      <c r="D109" s="437" t="s">
        <v>39</v>
      </c>
      <c r="E109" s="437" t="s">
        <v>32</v>
      </c>
      <c r="F109" s="437">
        <v>4</v>
      </c>
      <c r="G109" s="103">
        <v>30100</v>
      </c>
      <c r="H109" s="103">
        <f t="shared" si="3"/>
        <v>120400</v>
      </c>
    </row>
    <row r="110" spans="1:8" ht="30">
      <c r="A110" s="434"/>
      <c r="B110" s="495" t="s">
        <v>995</v>
      </c>
      <c r="C110" s="102" t="s">
        <v>1071</v>
      </c>
      <c r="D110" s="437" t="s">
        <v>39</v>
      </c>
      <c r="E110" s="437" t="s">
        <v>32</v>
      </c>
      <c r="F110" s="437">
        <v>4</v>
      </c>
      <c r="G110" s="103">
        <v>30100</v>
      </c>
      <c r="H110" s="103">
        <f t="shared" si="3"/>
        <v>120400</v>
      </c>
    </row>
    <row r="111" spans="1:8" ht="30">
      <c r="A111" s="434"/>
      <c r="B111" s="496" t="s">
        <v>996</v>
      </c>
      <c r="C111" s="102" t="s">
        <v>1072</v>
      </c>
      <c r="D111" s="437" t="s">
        <v>39</v>
      </c>
      <c r="E111" s="437" t="s">
        <v>32</v>
      </c>
      <c r="F111" s="437">
        <v>4</v>
      </c>
      <c r="G111" s="103">
        <v>30100</v>
      </c>
      <c r="H111" s="103">
        <f t="shared" si="3"/>
        <v>120400</v>
      </c>
    </row>
    <row r="112" spans="1:8" ht="30">
      <c r="A112" s="434"/>
      <c r="B112" s="497" t="s">
        <v>1073</v>
      </c>
      <c r="C112" s="102" t="s">
        <v>1073</v>
      </c>
      <c r="D112" s="437" t="s">
        <v>39</v>
      </c>
      <c r="E112" s="437" t="s">
        <v>111</v>
      </c>
      <c r="F112" s="437">
        <v>1</v>
      </c>
      <c r="G112" s="103">
        <v>145900</v>
      </c>
      <c r="H112" s="103">
        <f t="shared" si="3"/>
        <v>145900</v>
      </c>
    </row>
    <row r="113" spans="1:8" ht="28.5">
      <c r="A113" s="434"/>
      <c r="B113" s="493" t="s">
        <v>1074</v>
      </c>
      <c r="C113" s="102"/>
      <c r="D113" s="437"/>
      <c r="E113" s="465"/>
      <c r="F113" s="437"/>
      <c r="G113" s="103">
        <v>0</v>
      </c>
      <c r="H113" s="103">
        <f t="shared" si="3"/>
        <v>0</v>
      </c>
    </row>
    <row r="114" spans="1:8" ht="30">
      <c r="A114" s="434"/>
      <c r="B114" s="496" t="s">
        <v>1068</v>
      </c>
      <c r="C114" s="102" t="s">
        <v>1068</v>
      </c>
      <c r="D114" s="437" t="s">
        <v>39</v>
      </c>
      <c r="E114" s="437" t="s">
        <v>32</v>
      </c>
      <c r="F114" s="437">
        <v>1</v>
      </c>
      <c r="G114" s="103">
        <v>3039400</v>
      </c>
      <c r="H114" s="103">
        <f t="shared" si="3"/>
        <v>3039400</v>
      </c>
    </row>
    <row r="115" spans="1:8" ht="15.75">
      <c r="A115" s="434"/>
      <c r="B115" s="473" t="s">
        <v>1075</v>
      </c>
      <c r="C115" s="102" t="s">
        <v>1076</v>
      </c>
      <c r="D115" s="437" t="s">
        <v>39</v>
      </c>
      <c r="E115" s="437" t="s">
        <v>32</v>
      </c>
      <c r="F115" s="437">
        <v>4</v>
      </c>
      <c r="G115" s="103">
        <v>30100</v>
      </c>
      <c r="H115" s="103">
        <f t="shared" si="3"/>
        <v>120400</v>
      </c>
    </row>
    <row r="116" spans="1:8" ht="15.75">
      <c r="A116" s="434"/>
      <c r="B116" s="473" t="s">
        <v>1077</v>
      </c>
      <c r="C116" s="102" t="s">
        <v>1078</v>
      </c>
      <c r="D116" s="437" t="s">
        <v>39</v>
      </c>
      <c r="E116" s="437" t="s">
        <v>32</v>
      </c>
      <c r="F116" s="437">
        <v>4</v>
      </c>
      <c r="G116" s="103">
        <v>30100</v>
      </c>
      <c r="H116" s="103">
        <f t="shared" si="3"/>
        <v>120400</v>
      </c>
    </row>
    <row r="117" spans="1:8" ht="15.75">
      <c r="A117" s="434"/>
      <c r="B117" s="473" t="s">
        <v>1079</v>
      </c>
      <c r="C117" s="102" t="s">
        <v>1080</v>
      </c>
      <c r="D117" s="437" t="s">
        <v>39</v>
      </c>
      <c r="E117" s="437" t="s">
        <v>32</v>
      </c>
      <c r="F117" s="437">
        <v>4</v>
      </c>
      <c r="G117" s="103">
        <v>30100</v>
      </c>
      <c r="H117" s="103">
        <f t="shared" si="3"/>
        <v>120400</v>
      </c>
    </row>
    <row r="118" spans="1:8" ht="30">
      <c r="A118" s="434"/>
      <c r="B118" s="496" t="s">
        <v>1073</v>
      </c>
      <c r="C118" s="102" t="s">
        <v>1081</v>
      </c>
      <c r="D118" s="437" t="s">
        <v>39</v>
      </c>
      <c r="E118" s="437" t="s">
        <v>111</v>
      </c>
      <c r="F118" s="437">
        <v>1</v>
      </c>
      <c r="G118" s="103">
        <v>145900</v>
      </c>
      <c r="H118" s="103">
        <f t="shared" si="3"/>
        <v>145900</v>
      </c>
    </row>
    <row r="119" spans="1:8" ht="28.5">
      <c r="A119" s="434"/>
      <c r="B119" s="493" t="s">
        <v>1082</v>
      </c>
      <c r="C119" s="102"/>
      <c r="D119" s="437"/>
      <c r="E119" s="465"/>
      <c r="F119" s="437"/>
      <c r="G119" s="103">
        <v>0</v>
      </c>
      <c r="H119" s="103">
        <f t="shared" si="3"/>
        <v>0</v>
      </c>
    </row>
    <row r="120" spans="1:8" ht="15.75">
      <c r="A120" s="434"/>
      <c r="B120" s="496" t="s">
        <v>1061</v>
      </c>
      <c r="C120" s="480"/>
      <c r="D120" s="437" t="s">
        <v>39</v>
      </c>
      <c r="E120" s="437" t="s">
        <v>32</v>
      </c>
      <c r="F120" s="437">
        <v>1</v>
      </c>
      <c r="G120" s="103">
        <v>3539400</v>
      </c>
      <c r="H120" s="103">
        <f t="shared" si="3"/>
        <v>3539400</v>
      </c>
    </row>
    <row r="121" spans="1:8" ht="30">
      <c r="A121" s="434"/>
      <c r="B121" s="496" t="s">
        <v>1063</v>
      </c>
      <c r="C121" s="102" t="s">
        <v>1083</v>
      </c>
      <c r="D121" s="437" t="s">
        <v>39</v>
      </c>
      <c r="E121" s="437" t="s">
        <v>111</v>
      </c>
      <c r="F121" s="437">
        <v>1</v>
      </c>
      <c r="G121" s="103">
        <v>218800</v>
      </c>
      <c r="H121" s="103">
        <f t="shared" si="3"/>
        <v>218800</v>
      </c>
    </row>
    <row r="122" spans="1:8" ht="30">
      <c r="A122" s="434"/>
      <c r="B122" s="496" t="s">
        <v>1084</v>
      </c>
      <c r="C122" s="437" t="s">
        <v>1085</v>
      </c>
      <c r="D122" s="437" t="s">
        <v>39</v>
      </c>
      <c r="E122" s="437" t="s">
        <v>32</v>
      </c>
      <c r="F122" s="437">
        <v>8</v>
      </c>
      <c r="G122" s="103">
        <v>30100</v>
      </c>
      <c r="H122" s="103">
        <f t="shared" si="3"/>
        <v>240800</v>
      </c>
    </row>
    <row r="123" spans="1:8" ht="15.75">
      <c r="A123" s="434" t="s">
        <v>153</v>
      </c>
      <c r="B123" s="104" t="s">
        <v>327</v>
      </c>
      <c r="C123" s="434"/>
      <c r="D123" s="437"/>
      <c r="E123" s="437"/>
      <c r="F123" s="437"/>
      <c r="G123" s="103">
        <v>0</v>
      </c>
      <c r="H123" s="103">
        <f t="shared" si="3"/>
        <v>0</v>
      </c>
    </row>
    <row r="124" spans="1:8" ht="28.5">
      <c r="A124" s="477">
        <v>1</v>
      </c>
      <c r="B124" s="104" t="s">
        <v>1086</v>
      </c>
      <c r="C124" s="437"/>
      <c r="D124" s="434"/>
      <c r="E124" s="437" t="s">
        <v>123</v>
      </c>
      <c r="F124" s="437">
        <v>2</v>
      </c>
      <c r="G124" s="103">
        <v>0</v>
      </c>
      <c r="H124" s="103">
        <f t="shared" si="3"/>
        <v>0</v>
      </c>
    </row>
    <row r="125" spans="1:8" ht="15.75">
      <c r="A125" s="477"/>
      <c r="B125" s="492" t="s">
        <v>1087</v>
      </c>
      <c r="C125" s="437" t="s">
        <v>1088</v>
      </c>
      <c r="D125" s="437" t="s">
        <v>39</v>
      </c>
      <c r="E125" s="437" t="s">
        <v>111</v>
      </c>
      <c r="F125" s="437">
        <v>4</v>
      </c>
      <c r="G125" s="103">
        <v>16777700</v>
      </c>
      <c r="H125" s="103">
        <f t="shared" si="3"/>
        <v>67110800</v>
      </c>
    </row>
    <row r="126" spans="1:8" ht="15.75">
      <c r="A126" s="477"/>
      <c r="B126" s="492" t="s">
        <v>1089</v>
      </c>
      <c r="C126" s="437"/>
      <c r="D126" s="437" t="s">
        <v>39</v>
      </c>
      <c r="E126" s="437" t="s">
        <v>111</v>
      </c>
      <c r="F126" s="437">
        <v>1</v>
      </c>
      <c r="G126" s="103">
        <v>7537800</v>
      </c>
      <c r="H126" s="103">
        <f t="shared" si="3"/>
        <v>7537800</v>
      </c>
    </row>
    <row r="127" spans="1:8" ht="15.75">
      <c r="A127" s="477"/>
      <c r="B127" s="492" t="s">
        <v>1090</v>
      </c>
      <c r="C127" s="437"/>
      <c r="D127" s="437" t="s">
        <v>39</v>
      </c>
      <c r="E127" s="437" t="s">
        <v>111</v>
      </c>
      <c r="F127" s="437">
        <v>2</v>
      </c>
      <c r="G127" s="103">
        <v>4498400</v>
      </c>
      <c r="H127" s="103">
        <f t="shared" si="3"/>
        <v>8996800</v>
      </c>
    </row>
    <row r="128" spans="1:8" ht="15.75">
      <c r="A128" s="477"/>
      <c r="B128" s="492" t="s">
        <v>1091</v>
      </c>
      <c r="C128" s="480"/>
      <c r="D128" s="437" t="s">
        <v>39</v>
      </c>
      <c r="E128" s="437" t="s">
        <v>32</v>
      </c>
      <c r="F128" s="437">
        <v>50</v>
      </c>
      <c r="G128" s="103">
        <v>97300</v>
      </c>
      <c r="H128" s="103">
        <f t="shared" si="3"/>
        <v>4865000</v>
      </c>
    </row>
    <row r="129" spans="1:8" ht="15.75">
      <c r="A129" s="477"/>
      <c r="B129" s="497" t="s">
        <v>1092</v>
      </c>
      <c r="C129" s="102" t="s">
        <v>1093</v>
      </c>
      <c r="D129" s="437" t="s">
        <v>39</v>
      </c>
      <c r="E129" s="437" t="s">
        <v>32</v>
      </c>
      <c r="F129" s="437">
        <v>10</v>
      </c>
      <c r="G129" s="103">
        <v>100300</v>
      </c>
      <c r="H129" s="103">
        <f t="shared" si="3"/>
        <v>1003000</v>
      </c>
    </row>
    <row r="130" spans="1:8" ht="15.75">
      <c r="A130" s="477"/>
      <c r="B130" s="497" t="s">
        <v>1094</v>
      </c>
      <c r="C130" s="102" t="s">
        <v>1095</v>
      </c>
      <c r="D130" s="437" t="s">
        <v>39</v>
      </c>
      <c r="E130" s="437" t="s">
        <v>32</v>
      </c>
      <c r="F130" s="437">
        <v>20</v>
      </c>
      <c r="G130" s="103">
        <v>21000</v>
      </c>
      <c r="H130" s="103">
        <f t="shared" si="3"/>
        <v>420000</v>
      </c>
    </row>
    <row r="131" spans="1:8" ht="15.75">
      <c r="A131" s="477"/>
      <c r="B131" s="497" t="s">
        <v>1096</v>
      </c>
      <c r="C131" s="102"/>
      <c r="D131" s="437" t="s">
        <v>39</v>
      </c>
      <c r="E131" s="437" t="s">
        <v>111</v>
      </c>
      <c r="F131" s="437">
        <v>10</v>
      </c>
      <c r="G131" s="103">
        <v>60800</v>
      </c>
      <c r="H131" s="103">
        <f t="shared" si="3"/>
        <v>608000</v>
      </c>
    </row>
    <row r="132" spans="1:8" ht="15.75">
      <c r="A132" s="477"/>
      <c r="B132" s="497" t="s">
        <v>1097</v>
      </c>
      <c r="C132" s="102"/>
      <c r="D132" s="437" t="s">
        <v>39</v>
      </c>
      <c r="E132" s="437" t="s">
        <v>93</v>
      </c>
      <c r="F132" s="437">
        <v>0.6</v>
      </c>
      <c r="G132" s="103">
        <v>103300</v>
      </c>
      <c r="H132" s="103">
        <f t="shared" si="3"/>
        <v>61980</v>
      </c>
    </row>
    <row r="133" spans="1:8" ht="15.75">
      <c r="A133" s="477"/>
      <c r="B133" s="497" t="s">
        <v>1003</v>
      </c>
      <c r="C133" s="102"/>
      <c r="D133" s="437" t="s">
        <v>39</v>
      </c>
      <c r="E133" s="437"/>
      <c r="F133" s="437"/>
      <c r="G133" s="103">
        <v>0</v>
      </c>
      <c r="H133" s="103">
        <f t="shared" si="3"/>
        <v>0</v>
      </c>
    </row>
    <row r="134" spans="1:8" ht="15.75">
      <c r="A134" s="477"/>
      <c r="B134" s="497" t="s">
        <v>1098</v>
      </c>
      <c r="C134" s="102" t="s">
        <v>1066</v>
      </c>
      <c r="D134" s="437" t="s">
        <v>39</v>
      </c>
      <c r="E134" s="437" t="s">
        <v>32</v>
      </c>
      <c r="F134" s="437">
        <v>10</v>
      </c>
      <c r="G134" s="103">
        <v>30100</v>
      </c>
      <c r="H134" s="103">
        <f t="shared" si="3"/>
        <v>301000</v>
      </c>
    </row>
    <row r="135" spans="1:8" ht="15.75">
      <c r="A135" s="477"/>
      <c r="B135" s="497" t="s">
        <v>1099</v>
      </c>
      <c r="C135" s="102" t="s">
        <v>1100</v>
      </c>
      <c r="D135" s="437" t="s">
        <v>39</v>
      </c>
      <c r="E135" s="437" t="s">
        <v>32</v>
      </c>
      <c r="F135" s="437">
        <v>10</v>
      </c>
      <c r="G135" s="103">
        <v>20100</v>
      </c>
      <c r="H135" s="103">
        <f t="shared" si="3"/>
        <v>201000</v>
      </c>
    </row>
    <row r="136" spans="1:8" ht="15.75">
      <c r="A136" s="477"/>
      <c r="B136" s="497" t="s">
        <v>1101</v>
      </c>
      <c r="C136" s="456"/>
      <c r="D136" s="437" t="s">
        <v>39</v>
      </c>
      <c r="E136" s="437" t="s">
        <v>204</v>
      </c>
      <c r="F136" s="437">
        <v>2</v>
      </c>
      <c r="G136" s="103">
        <v>180000</v>
      </c>
      <c r="H136" s="103">
        <f t="shared" si="3"/>
        <v>360000</v>
      </c>
    </row>
    <row r="137" spans="1:8" ht="15.75">
      <c r="A137" s="477" t="s">
        <v>297</v>
      </c>
      <c r="B137" s="498" t="s">
        <v>1006</v>
      </c>
      <c r="C137" s="499"/>
      <c r="D137" s="434"/>
      <c r="E137" s="434"/>
      <c r="F137" s="437"/>
      <c r="G137" s="103">
        <v>0</v>
      </c>
      <c r="H137" s="103">
        <f t="shared" si="3"/>
        <v>0</v>
      </c>
    </row>
    <row r="138" spans="1:8" ht="15.75">
      <c r="A138" s="434">
        <v>1</v>
      </c>
      <c r="B138" s="500" t="s">
        <v>1102</v>
      </c>
      <c r="C138" s="437"/>
      <c r="D138" s="501"/>
      <c r="E138" s="440"/>
      <c r="F138" s="437"/>
      <c r="G138" s="103">
        <v>0</v>
      </c>
      <c r="H138" s="103">
        <f t="shared" si="3"/>
        <v>0</v>
      </c>
    </row>
    <row r="139" spans="1:8" ht="15.75">
      <c r="A139" s="477"/>
      <c r="B139" s="492" t="s">
        <v>55</v>
      </c>
      <c r="C139" s="437"/>
      <c r="D139" s="437" t="s">
        <v>39</v>
      </c>
      <c r="E139" s="463" t="s">
        <v>204</v>
      </c>
      <c r="F139" s="437">
        <v>2</v>
      </c>
      <c r="G139" s="103">
        <v>15800</v>
      </c>
      <c r="H139" s="103">
        <f t="shared" si="3"/>
        <v>31600</v>
      </c>
    </row>
    <row r="140" spans="1:8" ht="15.75">
      <c r="A140" s="434"/>
      <c r="B140" s="489" t="s">
        <v>1103</v>
      </c>
      <c r="C140" s="437"/>
      <c r="D140" s="437" t="s">
        <v>39</v>
      </c>
      <c r="E140" s="465" t="s">
        <v>42</v>
      </c>
      <c r="F140" s="437">
        <v>5</v>
      </c>
      <c r="G140" s="103">
        <v>21900</v>
      </c>
      <c r="H140" s="103">
        <f t="shared" si="3"/>
        <v>109500</v>
      </c>
    </row>
    <row r="141" spans="1:8" ht="15.75">
      <c r="A141" s="483"/>
      <c r="B141" s="492" t="s">
        <v>43</v>
      </c>
      <c r="C141" s="437" t="s">
        <v>1104</v>
      </c>
      <c r="D141" s="437" t="s">
        <v>39</v>
      </c>
      <c r="E141" s="463" t="s">
        <v>204</v>
      </c>
      <c r="F141" s="437">
        <v>3</v>
      </c>
      <c r="G141" s="103">
        <v>182400</v>
      </c>
      <c r="H141" s="103">
        <f t="shared" si="3"/>
        <v>547200</v>
      </c>
    </row>
    <row r="142" spans="1:8" ht="15.75">
      <c r="A142" s="483"/>
      <c r="B142" s="492" t="s">
        <v>1028</v>
      </c>
      <c r="C142" s="437" t="s">
        <v>1029</v>
      </c>
      <c r="D142" s="465" t="s">
        <v>1030</v>
      </c>
      <c r="E142" s="437" t="s">
        <v>111</v>
      </c>
      <c r="F142" s="437">
        <v>20</v>
      </c>
      <c r="G142" s="103">
        <v>14600</v>
      </c>
      <c r="H142" s="103">
        <f t="shared" si="3"/>
        <v>292000</v>
      </c>
    </row>
    <row r="143" spans="1:8" ht="15.75">
      <c r="A143" s="483"/>
      <c r="B143" s="495" t="s">
        <v>1105</v>
      </c>
      <c r="C143" s="437" t="s">
        <v>1106</v>
      </c>
      <c r="D143" s="437" t="s">
        <v>39</v>
      </c>
      <c r="E143" s="437" t="s">
        <v>111</v>
      </c>
      <c r="F143" s="437">
        <v>4</v>
      </c>
      <c r="G143" s="103">
        <v>3400</v>
      </c>
      <c r="H143" s="103">
        <f t="shared" si="3"/>
        <v>13600</v>
      </c>
    </row>
    <row r="144" spans="1:8" ht="15.75">
      <c r="A144" s="483"/>
      <c r="B144" s="496" t="s">
        <v>1107</v>
      </c>
      <c r="C144" s="437" t="s">
        <v>1108</v>
      </c>
      <c r="D144" s="437" t="s">
        <v>39</v>
      </c>
      <c r="E144" s="437" t="s">
        <v>32</v>
      </c>
      <c r="F144" s="437">
        <v>12</v>
      </c>
      <c r="G144" s="103">
        <v>22800</v>
      </c>
      <c r="H144" s="103">
        <f t="shared" si="3"/>
        <v>273600</v>
      </c>
    </row>
    <row r="145" spans="1:8" ht="15.75">
      <c r="A145" s="483"/>
      <c r="B145" s="495" t="s">
        <v>1109</v>
      </c>
      <c r="C145" s="437" t="s">
        <v>1110</v>
      </c>
      <c r="D145" s="437" t="s">
        <v>39</v>
      </c>
      <c r="E145" s="437" t="s">
        <v>111</v>
      </c>
      <c r="F145" s="437">
        <v>2</v>
      </c>
      <c r="G145" s="103">
        <v>19100</v>
      </c>
      <c r="H145" s="103">
        <f t="shared" si="3"/>
        <v>38200</v>
      </c>
    </row>
    <row r="146" spans="1:8" ht="15.75">
      <c r="A146" s="434"/>
      <c r="B146" s="106" t="s">
        <v>1111</v>
      </c>
      <c r="C146" s="479" t="s">
        <v>1026</v>
      </c>
      <c r="D146" s="437" t="s">
        <v>39</v>
      </c>
      <c r="E146" s="463" t="s">
        <v>595</v>
      </c>
      <c r="F146" s="437">
        <v>5</v>
      </c>
      <c r="G146" s="103">
        <v>322200</v>
      </c>
      <c r="H146" s="103">
        <f t="shared" si="3"/>
        <v>1611000</v>
      </c>
    </row>
    <row r="147" spans="1:8" ht="15.75">
      <c r="A147" s="434"/>
      <c r="B147" s="106" t="s">
        <v>1027</v>
      </c>
      <c r="C147" s="499"/>
      <c r="D147" s="437" t="s">
        <v>39</v>
      </c>
      <c r="E147" s="463" t="s">
        <v>204</v>
      </c>
      <c r="F147" s="437">
        <v>5</v>
      </c>
      <c r="G147" s="103">
        <v>24300</v>
      </c>
      <c r="H147" s="103">
        <f t="shared" si="3"/>
        <v>121500</v>
      </c>
    </row>
    <row r="148" spans="1:8" ht="15.75">
      <c r="A148" s="434">
        <v>2</v>
      </c>
      <c r="B148" s="500" t="s">
        <v>1112</v>
      </c>
      <c r="C148" s="437"/>
      <c r="D148" s="501"/>
      <c r="E148" s="440"/>
      <c r="F148" s="437"/>
      <c r="G148" s="103">
        <v>0</v>
      </c>
      <c r="H148" s="103">
        <f t="shared" si="3"/>
        <v>0</v>
      </c>
    </row>
    <row r="149" spans="1:8" ht="15.75">
      <c r="A149" s="477"/>
      <c r="B149" s="492" t="s">
        <v>55</v>
      </c>
      <c r="C149" s="437"/>
      <c r="D149" s="437" t="s">
        <v>39</v>
      </c>
      <c r="E149" s="463" t="s">
        <v>204</v>
      </c>
      <c r="F149" s="437">
        <v>2</v>
      </c>
      <c r="G149" s="103">
        <v>15800</v>
      </c>
      <c r="H149" s="103">
        <f t="shared" si="3"/>
        <v>31600</v>
      </c>
    </row>
    <row r="150" spans="1:8" ht="15.75">
      <c r="A150" s="434"/>
      <c r="B150" s="489" t="s">
        <v>1103</v>
      </c>
      <c r="C150" s="480"/>
      <c r="D150" s="437" t="s">
        <v>39</v>
      </c>
      <c r="E150" s="465" t="s">
        <v>42</v>
      </c>
      <c r="F150" s="437">
        <v>5</v>
      </c>
      <c r="G150" s="103">
        <v>21900</v>
      </c>
      <c r="H150" s="103">
        <f t="shared" si="3"/>
        <v>109500</v>
      </c>
    </row>
    <row r="151" spans="1:8" ht="15.75">
      <c r="A151" s="434"/>
      <c r="B151" s="489" t="s">
        <v>1113</v>
      </c>
      <c r="C151" s="437" t="s">
        <v>1114</v>
      </c>
      <c r="D151" s="437" t="s">
        <v>39</v>
      </c>
      <c r="E151" s="437" t="s">
        <v>63</v>
      </c>
      <c r="F151" s="437">
        <v>4</v>
      </c>
      <c r="G151" s="103">
        <v>1902700</v>
      </c>
      <c r="H151" s="103">
        <f t="shared" si="3"/>
        <v>7610800</v>
      </c>
    </row>
    <row r="152" spans="1:8" ht="15.75">
      <c r="A152" s="483"/>
      <c r="B152" s="492" t="s">
        <v>43</v>
      </c>
      <c r="C152" s="437" t="s">
        <v>1104</v>
      </c>
      <c r="D152" s="437" t="s">
        <v>39</v>
      </c>
      <c r="E152" s="463" t="s">
        <v>204</v>
      </c>
      <c r="F152" s="437">
        <v>3</v>
      </c>
      <c r="G152" s="103">
        <v>182400</v>
      </c>
      <c r="H152" s="103">
        <f t="shared" si="3"/>
        <v>547200</v>
      </c>
    </row>
    <row r="153" spans="1:8" ht="15.75">
      <c r="A153" s="483"/>
      <c r="B153" s="492" t="s">
        <v>1028</v>
      </c>
      <c r="C153" s="437" t="s">
        <v>1029</v>
      </c>
      <c r="D153" s="465" t="s">
        <v>1030</v>
      </c>
      <c r="E153" s="437" t="s">
        <v>111</v>
      </c>
      <c r="F153" s="437">
        <v>20</v>
      </c>
      <c r="G153" s="103">
        <v>14600</v>
      </c>
      <c r="H153" s="103">
        <f t="shared" si="3"/>
        <v>292000</v>
      </c>
    </row>
    <row r="154" spans="1:8" ht="15.75">
      <c r="A154" s="434"/>
      <c r="B154" s="106" t="s">
        <v>1111</v>
      </c>
      <c r="C154" s="479" t="s">
        <v>1026</v>
      </c>
      <c r="D154" s="437" t="s">
        <v>39</v>
      </c>
      <c r="E154" s="463" t="s">
        <v>595</v>
      </c>
      <c r="F154" s="437">
        <v>5</v>
      </c>
      <c r="G154" s="103">
        <v>322200</v>
      </c>
      <c r="H154" s="103">
        <f t="shared" si="3"/>
        <v>1611000</v>
      </c>
    </row>
    <row r="155" spans="1:8" ht="15.75">
      <c r="A155" s="434"/>
      <c r="B155" s="106" t="s">
        <v>1027</v>
      </c>
      <c r="C155" s="479"/>
      <c r="D155" s="437" t="s">
        <v>39</v>
      </c>
      <c r="E155" s="463" t="s">
        <v>204</v>
      </c>
      <c r="F155" s="437">
        <v>5</v>
      </c>
      <c r="G155" s="103">
        <v>24300</v>
      </c>
      <c r="H155" s="103">
        <f t="shared" si="3"/>
        <v>121500</v>
      </c>
    </row>
    <row r="156" spans="1:8" ht="15.75">
      <c r="A156" s="434" t="s">
        <v>639</v>
      </c>
      <c r="B156" s="502" t="s">
        <v>1125</v>
      </c>
      <c r="C156" s="479"/>
      <c r="D156" s="437"/>
      <c r="E156" s="463"/>
      <c r="F156" s="437"/>
      <c r="G156" s="103"/>
      <c r="H156" s="103"/>
    </row>
    <row r="157" spans="1:8" ht="30">
      <c r="A157" s="437">
        <v>1</v>
      </c>
      <c r="B157" s="503" t="s">
        <v>1115</v>
      </c>
      <c r="C157" s="479"/>
      <c r="D157" s="465"/>
      <c r="E157" s="463" t="s">
        <v>15</v>
      </c>
      <c r="F157" s="437">
        <v>1</v>
      </c>
      <c r="G157" s="103"/>
      <c r="H157" s="103"/>
    </row>
    <row r="158" spans="1:8" ht="15.75">
      <c r="A158" s="437" t="s">
        <v>8</v>
      </c>
      <c r="B158" s="503" t="s">
        <v>1116</v>
      </c>
      <c r="C158" s="479" t="s">
        <v>1117</v>
      </c>
      <c r="D158" s="465" t="s">
        <v>289</v>
      </c>
      <c r="E158" s="463" t="s">
        <v>146</v>
      </c>
      <c r="F158" s="437">
        <v>1</v>
      </c>
      <c r="G158" s="103">
        <v>3540000</v>
      </c>
      <c r="H158" s="103">
        <f t="shared" ref="H158:H163" si="4">F158*G158</f>
        <v>3540000</v>
      </c>
    </row>
    <row r="159" spans="1:8" ht="15.75">
      <c r="A159" s="437" t="s">
        <v>987</v>
      </c>
      <c r="B159" s="503" t="s">
        <v>1118</v>
      </c>
      <c r="C159" s="479" t="s">
        <v>1117</v>
      </c>
      <c r="D159" s="465" t="s">
        <v>289</v>
      </c>
      <c r="E159" s="463" t="s">
        <v>146</v>
      </c>
      <c r="F159" s="437">
        <v>1</v>
      </c>
      <c r="G159" s="103">
        <v>2500000</v>
      </c>
      <c r="H159" s="103">
        <f t="shared" si="4"/>
        <v>2500000</v>
      </c>
    </row>
    <row r="160" spans="1:8" ht="15.75">
      <c r="A160" s="434"/>
      <c r="B160" s="502" t="s">
        <v>1119</v>
      </c>
      <c r="C160" s="479"/>
      <c r="D160" s="465"/>
      <c r="E160" s="463"/>
      <c r="F160" s="437"/>
      <c r="G160" s="103">
        <v>0</v>
      </c>
      <c r="H160" s="103">
        <f t="shared" si="4"/>
        <v>0</v>
      </c>
    </row>
    <row r="161" spans="1:8" ht="15.75">
      <c r="A161" s="437">
        <v>1</v>
      </c>
      <c r="B161" s="106" t="s">
        <v>1120</v>
      </c>
      <c r="C161" s="102">
        <v>352142</v>
      </c>
      <c r="D161" s="465" t="s">
        <v>1121</v>
      </c>
      <c r="E161" s="437" t="s">
        <v>111</v>
      </c>
      <c r="F161" s="437">
        <v>5</v>
      </c>
      <c r="G161" s="103">
        <v>2479000</v>
      </c>
      <c r="H161" s="103">
        <f t="shared" si="4"/>
        <v>12395000</v>
      </c>
    </row>
    <row r="162" spans="1:8" ht="15.75">
      <c r="A162" s="437">
        <v>2</v>
      </c>
      <c r="B162" s="106" t="s">
        <v>1122</v>
      </c>
      <c r="C162" s="102" t="s">
        <v>1123</v>
      </c>
      <c r="D162" s="465" t="s">
        <v>1121</v>
      </c>
      <c r="E162" s="437" t="s">
        <v>111</v>
      </c>
      <c r="F162" s="437">
        <v>10</v>
      </c>
      <c r="G162" s="103">
        <v>3503900</v>
      </c>
      <c r="H162" s="103">
        <f t="shared" si="4"/>
        <v>35039000</v>
      </c>
    </row>
    <row r="163" spans="1:8" ht="15.75">
      <c r="A163" s="107">
        <v>3</v>
      </c>
      <c r="B163" s="108" t="s">
        <v>1124</v>
      </c>
      <c r="C163" s="109"/>
      <c r="D163" s="110" t="s">
        <v>1121</v>
      </c>
      <c r="E163" s="107" t="s">
        <v>111</v>
      </c>
      <c r="F163" s="107">
        <v>2</v>
      </c>
      <c r="G163" s="103">
        <v>11631300</v>
      </c>
      <c r="H163" s="103">
        <f t="shared" si="4"/>
        <v>23262600</v>
      </c>
    </row>
  </sheetData>
  <mergeCells count="6">
    <mergeCell ref="A7:F7"/>
    <mergeCell ref="A1:B1"/>
    <mergeCell ref="A2:B2"/>
    <mergeCell ref="A4:F4"/>
    <mergeCell ref="A5:F5"/>
    <mergeCell ref="A6:F6"/>
  </mergeCells>
  <pageMargins left="0.64" right="0.43"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7"/>
  <sheetViews>
    <sheetView workbookViewId="0">
      <selection activeCell="A7" sqref="A7:F7"/>
    </sheetView>
  </sheetViews>
  <sheetFormatPr defaultColWidth="8.85546875" defaultRowHeight="15"/>
  <cols>
    <col min="1" max="1" width="5.42578125" style="38" customWidth="1"/>
    <col min="2" max="2" width="47.28515625" style="38" customWidth="1"/>
    <col min="3" max="3" width="18.28515625" style="38" customWidth="1"/>
    <col min="4" max="4" width="12.42578125" style="38" customWidth="1"/>
    <col min="5" max="5" width="7.5703125" style="38" customWidth="1"/>
    <col min="6" max="6" width="8.28515625" style="38" bestFit="1" customWidth="1"/>
    <col min="7" max="7" width="10.85546875" style="38" hidden="1" customWidth="1"/>
    <col min="8" max="8" width="12.28515625" style="38" hidden="1" customWidth="1"/>
    <col min="9" max="16384" width="8.85546875" style="38"/>
  </cols>
  <sheetData>
    <row r="1" spans="1:8" ht="15.75">
      <c r="A1" s="851" t="s">
        <v>83</v>
      </c>
      <c r="B1" s="851"/>
      <c r="C1" s="37"/>
      <c r="D1" s="37"/>
      <c r="E1" s="37"/>
    </row>
    <row r="2" spans="1:8" ht="15.75">
      <c r="A2" s="852" t="s">
        <v>0</v>
      </c>
      <c r="B2" s="852"/>
      <c r="C2" s="37"/>
      <c r="D2" s="37"/>
      <c r="E2" s="37"/>
    </row>
    <row r="3" spans="1:8" ht="15.75">
      <c r="A3" s="37"/>
      <c r="B3" s="37"/>
      <c r="C3" s="37"/>
      <c r="D3" s="37"/>
      <c r="E3" s="37"/>
    </row>
    <row r="4" spans="1:8" ht="18" customHeight="1">
      <c r="A4" s="853" t="s">
        <v>963</v>
      </c>
      <c r="B4" s="853"/>
      <c r="C4" s="853"/>
      <c r="D4" s="853"/>
      <c r="E4" s="853"/>
      <c r="F4" s="853"/>
    </row>
    <row r="5" spans="1:8" ht="18.75">
      <c r="A5" s="853" t="s">
        <v>84</v>
      </c>
      <c r="B5" s="853"/>
      <c r="C5" s="853"/>
      <c r="D5" s="853"/>
      <c r="E5" s="853"/>
      <c r="F5" s="853"/>
    </row>
    <row r="6" spans="1:8" ht="18.75">
      <c r="A6" s="853" t="s">
        <v>960</v>
      </c>
      <c r="B6" s="853"/>
      <c r="C6" s="853"/>
      <c r="D6" s="853"/>
      <c r="E6" s="853"/>
      <c r="F6" s="853"/>
    </row>
    <row r="7" spans="1:8" ht="16.5">
      <c r="A7" s="844" t="s">
        <v>1926</v>
      </c>
      <c r="B7" s="844"/>
      <c r="C7" s="844"/>
      <c r="D7" s="844"/>
      <c r="E7" s="844"/>
      <c r="F7" s="844"/>
    </row>
    <row r="9" spans="1:8" ht="47.25">
      <c r="A9" s="39" t="s">
        <v>1</v>
      </c>
      <c r="B9" s="39" t="s">
        <v>2</v>
      </c>
      <c r="C9" s="39" t="s">
        <v>3</v>
      </c>
      <c r="D9" s="39" t="s">
        <v>4</v>
      </c>
      <c r="E9" s="39" t="s">
        <v>88</v>
      </c>
      <c r="F9" s="39" t="s">
        <v>5</v>
      </c>
      <c r="G9" s="40"/>
      <c r="H9" s="40"/>
    </row>
    <row r="10" spans="1:8" s="340" customFormat="1" ht="15.75">
      <c r="A10" s="594"/>
      <c r="B10" s="594" t="s">
        <v>1325</v>
      </c>
      <c r="C10" s="594"/>
      <c r="D10" s="594"/>
      <c r="E10" s="594"/>
      <c r="F10" s="595"/>
      <c r="G10" s="596"/>
      <c r="H10" s="596"/>
    </row>
    <row r="11" spans="1:8" s="340" customFormat="1" ht="31.5">
      <c r="A11" s="597" t="s">
        <v>6</v>
      </c>
      <c r="B11" s="598" t="s">
        <v>1902</v>
      </c>
      <c r="C11" s="597"/>
      <c r="D11" s="597"/>
      <c r="E11" s="597"/>
      <c r="F11" s="599"/>
      <c r="G11" s="600"/>
      <c r="H11" s="600">
        <f>SUM(H13:H60)</f>
        <v>79949800</v>
      </c>
    </row>
    <row r="12" spans="1:8" s="340" customFormat="1" ht="15.75">
      <c r="A12" s="605" t="s">
        <v>89</v>
      </c>
      <c r="B12" s="605" t="s">
        <v>808</v>
      </c>
      <c r="C12" s="601"/>
      <c r="D12" s="601"/>
      <c r="E12" s="605"/>
      <c r="F12" s="619"/>
      <c r="G12" s="99"/>
      <c r="H12" s="602"/>
    </row>
    <row r="13" spans="1:8" s="340" customFormat="1" ht="31.5">
      <c r="A13" s="603"/>
      <c r="B13" s="604" t="s">
        <v>1903</v>
      </c>
      <c r="C13" s="601"/>
      <c r="D13" s="601"/>
      <c r="E13" s="605"/>
      <c r="F13" s="606"/>
      <c r="G13" s="99"/>
      <c r="H13" s="602"/>
    </row>
    <row r="14" spans="1:8" s="340" customFormat="1" ht="31.5">
      <c r="A14" s="607">
        <v>1</v>
      </c>
      <c r="B14" s="608" t="s">
        <v>969</v>
      </c>
      <c r="C14" s="601"/>
      <c r="D14" s="601"/>
      <c r="E14" s="607" t="s">
        <v>970</v>
      </c>
      <c r="F14" s="609">
        <v>200</v>
      </c>
      <c r="G14" s="99">
        <v>36500</v>
      </c>
      <c r="H14" s="99">
        <f>F14*G14</f>
        <v>7300000</v>
      </c>
    </row>
    <row r="15" spans="1:8" s="340" customFormat="1" ht="15.75">
      <c r="A15" s="607">
        <v>2</v>
      </c>
      <c r="B15" s="608" t="s">
        <v>971</v>
      </c>
      <c r="C15" s="601"/>
      <c r="D15" s="601"/>
      <c r="E15" s="607" t="s">
        <v>32</v>
      </c>
      <c r="F15" s="609">
        <v>3</v>
      </c>
      <c r="G15" s="99">
        <v>1500000</v>
      </c>
      <c r="H15" s="99">
        <f t="shared" ref="H15:H60" si="0">F15*G15</f>
        <v>4500000</v>
      </c>
    </row>
    <row r="16" spans="1:8" s="340" customFormat="1" ht="15.75">
      <c r="A16" s="610">
        <v>3</v>
      </c>
      <c r="B16" s="611" t="s">
        <v>1126</v>
      </c>
      <c r="C16" s="601"/>
      <c r="D16" s="601"/>
      <c r="E16" s="607"/>
      <c r="F16" s="609"/>
      <c r="G16" s="99">
        <v>0</v>
      </c>
      <c r="H16" s="99">
        <f t="shared" si="0"/>
        <v>0</v>
      </c>
    </row>
    <row r="17" spans="1:8" s="340" customFormat="1" ht="47.25">
      <c r="A17" s="607" t="s">
        <v>16</v>
      </c>
      <c r="B17" s="608" t="s">
        <v>1127</v>
      </c>
      <c r="C17" s="601"/>
      <c r="D17" s="601"/>
      <c r="E17" s="607" t="s">
        <v>1128</v>
      </c>
      <c r="F17" s="609">
        <v>13</v>
      </c>
      <c r="G17" s="99">
        <v>190200</v>
      </c>
      <c r="H17" s="99">
        <f t="shared" si="0"/>
        <v>2472600</v>
      </c>
    </row>
    <row r="18" spans="1:8" s="340" customFormat="1" ht="31.5">
      <c r="A18" s="607" t="s">
        <v>18</v>
      </c>
      <c r="B18" s="608" t="s">
        <v>1129</v>
      </c>
      <c r="C18" s="601"/>
      <c r="D18" s="601"/>
      <c r="E18" s="607" t="s">
        <v>93</v>
      </c>
      <c r="F18" s="609">
        <v>10</v>
      </c>
      <c r="G18" s="99">
        <v>380500</v>
      </c>
      <c r="H18" s="99">
        <f t="shared" si="0"/>
        <v>3805000</v>
      </c>
    </row>
    <row r="19" spans="1:8" s="340" customFormat="1" ht="31.5">
      <c r="A19" s="607" t="s">
        <v>492</v>
      </c>
      <c r="B19" s="608" t="s">
        <v>1130</v>
      </c>
      <c r="C19" s="601"/>
      <c r="D19" s="601"/>
      <c r="E19" s="607" t="s">
        <v>93</v>
      </c>
      <c r="F19" s="609">
        <v>3</v>
      </c>
      <c r="G19" s="99">
        <v>190200</v>
      </c>
      <c r="H19" s="99">
        <f t="shared" si="0"/>
        <v>570600</v>
      </c>
    </row>
    <row r="20" spans="1:8" s="340" customFormat="1" ht="15.75">
      <c r="A20" s="612">
        <v>4</v>
      </c>
      <c r="B20" s="613" t="s">
        <v>1131</v>
      </c>
      <c r="C20" s="601"/>
      <c r="D20" s="601"/>
      <c r="E20" s="607"/>
      <c r="F20" s="614"/>
      <c r="G20" s="99">
        <v>0</v>
      </c>
      <c r="H20" s="99">
        <f t="shared" si="0"/>
        <v>0</v>
      </c>
    </row>
    <row r="21" spans="1:8" s="340" customFormat="1" ht="31.5">
      <c r="A21" s="615" t="s">
        <v>21</v>
      </c>
      <c r="B21" s="616" t="s">
        <v>1132</v>
      </c>
      <c r="C21" s="601"/>
      <c r="D21" s="601"/>
      <c r="E21" s="607" t="s">
        <v>111</v>
      </c>
      <c r="F21" s="614">
        <v>2</v>
      </c>
      <c r="G21" s="99">
        <v>760900</v>
      </c>
      <c r="H21" s="99">
        <f t="shared" si="0"/>
        <v>1521800</v>
      </c>
    </row>
    <row r="22" spans="1:8" s="340" customFormat="1" ht="15.75">
      <c r="A22" s="612">
        <v>5</v>
      </c>
      <c r="B22" s="613" t="s">
        <v>1133</v>
      </c>
      <c r="C22" s="601"/>
      <c r="D22" s="601"/>
      <c r="E22" s="607"/>
      <c r="F22" s="614"/>
      <c r="G22" s="99">
        <v>0</v>
      </c>
      <c r="H22" s="99">
        <f t="shared" si="0"/>
        <v>0</v>
      </c>
    </row>
    <row r="23" spans="1:8" s="340" customFormat="1" ht="31.5">
      <c r="A23" s="615" t="s">
        <v>24</v>
      </c>
      <c r="B23" s="616" t="s">
        <v>1134</v>
      </c>
      <c r="C23" s="601"/>
      <c r="D23" s="601"/>
      <c r="E23" s="607" t="s">
        <v>111</v>
      </c>
      <c r="F23" s="614">
        <v>2</v>
      </c>
      <c r="G23" s="99">
        <v>570700</v>
      </c>
      <c r="H23" s="99">
        <f t="shared" si="0"/>
        <v>1141400</v>
      </c>
    </row>
    <row r="24" spans="1:8" s="340" customFormat="1" ht="31.5">
      <c r="A24" s="615" t="s">
        <v>27</v>
      </c>
      <c r="B24" s="616" t="s">
        <v>1135</v>
      </c>
      <c r="C24" s="601"/>
      <c r="D24" s="601"/>
      <c r="E24" s="607" t="s">
        <v>111</v>
      </c>
      <c r="F24" s="614">
        <v>2</v>
      </c>
      <c r="G24" s="99">
        <v>570700</v>
      </c>
      <c r="H24" s="99">
        <f t="shared" si="0"/>
        <v>1141400</v>
      </c>
    </row>
    <row r="25" spans="1:8" s="340" customFormat="1" ht="15.75">
      <c r="A25" s="617" t="s">
        <v>101</v>
      </c>
      <c r="B25" s="618" t="s">
        <v>127</v>
      </c>
      <c r="C25" s="601"/>
      <c r="D25" s="601"/>
      <c r="E25" s="605"/>
      <c r="F25" s="619"/>
      <c r="G25" s="99">
        <v>0</v>
      </c>
      <c r="H25" s="99">
        <f t="shared" si="0"/>
        <v>0</v>
      </c>
    </row>
    <row r="26" spans="1:8" s="340" customFormat="1" ht="15.75">
      <c r="A26" s="605"/>
      <c r="B26" s="618" t="s">
        <v>1159</v>
      </c>
      <c r="C26" s="601"/>
      <c r="D26" s="601"/>
      <c r="E26" s="603"/>
      <c r="F26" s="620"/>
      <c r="G26" s="99">
        <v>0</v>
      </c>
      <c r="H26" s="99">
        <f t="shared" si="0"/>
        <v>0</v>
      </c>
    </row>
    <row r="27" spans="1:8" s="340" customFormat="1" ht="31.5">
      <c r="A27" s="603">
        <v>1</v>
      </c>
      <c r="B27" s="621" t="s">
        <v>1160</v>
      </c>
      <c r="C27" s="601"/>
      <c r="D27" s="601"/>
      <c r="E27" s="603"/>
      <c r="F27" s="614"/>
      <c r="G27" s="99">
        <v>0</v>
      </c>
      <c r="H27" s="99">
        <f t="shared" si="0"/>
        <v>0</v>
      </c>
    </row>
    <row r="28" spans="1:8" s="340" customFormat="1" ht="31.5">
      <c r="A28" s="615" t="s">
        <v>8</v>
      </c>
      <c r="B28" s="622" t="s">
        <v>1161</v>
      </c>
      <c r="C28" s="601"/>
      <c r="D28" s="601"/>
      <c r="E28" s="607" t="s">
        <v>157</v>
      </c>
      <c r="F28" s="614">
        <v>2</v>
      </c>
      <c r="G28" s="99">
        <v>1025100</v>
      </c>
      <c r="H28" s="99">
        <f t="shared" si="0"/>
        <v>2050200</v>
      </c>
    </row>
    <row r="29" spans="1:8" s="340" customFormat="1" ht="31.5">
      <c r="A29" s="615" t="s">
        <v>987</v>
      </c>
      <c r="B29" s="622" t="s">
        <v>1162</v>
      </c>
      <c r="C29" s="601"/>
      <c r="D29" s="601"/>
      <c r="E29" s="607" t="s">
        <v>157</v>
      </c>
      <c r="F29" s="614">
        <v>2</v>
      </c>
      <c r="G29" s="99">
        <v>523100</v>
      </c>
      <c r="H29" s="99">
        <f t="shared" si="0"/>
        <v>1046200</v>
      </c>
    </row>
    <row r="30" spans="1:8" s="340" customFormat="1" ht="31.5">
      <c r="A30" s="615" t="s">
        <v>1258</v>
      </c>
      <c r="B30" s="622" t="s">
        <v>1163</v>
      </c>
      <c r="C30" s="601"/>
      <c r="D30" s="601"/>
      <c r="E30" s="607" t="s">
        <v>32</v>
      </c>
      <c r="F30" s="614">
        <v>2</v>
      </c>
      <c r="G30" s="99">
        <v>1450000</v>
      </c>
      <c r="H30" s="99">
        <f t="shared" si="0"/>
        <v>2900000</v>
      </c>
    </row>
    <row r="31" spans="1:8" s="340" customFormat="1" ht="15.75">
      <c r="A31" s="615" t="s">
        <v>1391</v>
      </c>
      <c r="B31" s="622" t="s">
        <v>1164</v>
      </c>
      <c r="C31" s="601"/>
      <c r="D31" s="601"/>
      <c r="E31" s="607"/>
      <c r="F31" s="614"/>
      <c r="G31" s="99">
        <v>0</v>
      </c>
      <c r="H31" s="99">
        <f t="shared" si="0"/>
        <v>0</v>
      </c>
    </row>
    <row r="32" spans="1:8" s="340" customFormat="1" ht="15.75">
      <c r="A32" s="615"/>
      <c r="B32" s="616" t="s">
        <v>1165</v>
      </c>
      <c r="C32" s="601"/>
      <c r="D32" s="601"/>
      <c r="E32" s="607" t="s">
        <v>111</v>
      </c>
      <c r="F32" s="614">
        <v>2</v>
      </c>
      <c r="G32" s="99">
        <v>2200000</v>
      </c>
      <c r="H32" s="99">
        <f t="shared" si="0"/>
        <v>4400000</v>
      </c>
    </row>
    <row r="33" spans="1:8" s="340" customFormat="1" ht="31.5">
      <c r="A33" s="605">
        <v>2</v>
      </c>
      <c r="B33" s="621" t="s">
        <v>1166</v>
      </c>
      <c r="C33" s="601"/>
      <c r="D33" s="601"/>
      <c r="E33" s="603"/>
      <c r="F33" s="614"/>
      <c r="G33" s="99">
        <v>0</v>
      </c>
      <c r="H33" s="99">
        <f t="shared" si="0"/>
        <v>0</v>
      </c>
    </row>
    <row r="34" spans="1:8" s="340" customFormat="1" ht="15.75">
      <c r="A34" s="615" t="s">
        <v>51</v>
      </c>
      <c r="B34" s="622" t="s">
        <v>1167</v>
      </c>
      <c r="C34" s="601"/>
      <c r="D34" s="601"/>
      <c r="E34" s="607" t="s">
        <v>111</v>
      </c>
      <c r="F34" s="614">
        <v>2</v>
      </c>
      <c r="G34" s="99">
        <v>697500</v>
      </c>
      <c r="H34" s="99">
        <f t="shared" si="0"/>
        <v>1395000</v>
      </c>
    </row>
    <row r="35" spans="1:8" s="340" customFormat="1" ht="31.5">
      <c r="A35" s="607" t="s">
        <v>1262</v>
      </c>
      <c r="B35" s="623" t="s">
        <v>1168</v>
      </c>
      <c r="C35" s="601"/>
      <c r="D35" s="601"/>
      <c r="E35" s="607" t="s">
        <v>446</v>
      </c>
      <c r="F35" s="614">
        <v>4</v>
      </c>
      <c r="G35" s="99">
        <v>139500</v>
      </c>
      <c r="H35" s="99">
        <f t="shared" si="0"/>
        <v>558000</v>
      </c>
    </row>
    <row r="36" spans="1:8" s="340" customFormat="1" ht="31.5">
      <c r="A36" s="607" t="s">
        <v>1265</v>
      </c>
      <c r="B36" s="624" t="s">
        <v>1169</v>
      </c>
      <c r="C36" s="601"/>
      <c r="D36" s="601"/>
      <c r="E36" s="607" t="s">
        <v>165</v>
      </c>
      <c r="F36" s="614">
        <v>2</v>
      </c>
      <c r="G36" s="99">
        <v>3400000</v>
      </c>
      <c r="H36" s="99">
        <f t="shared" si="0"/>
        <v>6800000</v>
      </c>
    </row>
    <row r="37" spans="1:8" s="340" customFormat="1" ht="47.25">
      <c r="A37" s="607" t="s">
        <v>1343</v>
      </c>
      <c r="B37" s="624" t="s">
        <v>1170</v>
      </c>
      <c r="C37" s="601"/>
      <c r="D37" s="601"/>
      <c r="E37" s="607" t="s">
        <v>165</v>
      </c>
      <c r="F37" s="614">
        <v>2</v>
      </c>
      <c r="G37" s="99">
        <v>3850000</v>
      </c>
      <c r="H37" s="99">
        <f t="shared" si="0"/>
        <v>7700000</v>
      </c>
    </row>
    <row r="38" spans="1:8" s="340" customFormat="1" ht="15.75">
      <c r="A38" s="605" t="s">
        <v>126</v>
      </c>
      <c r="B38" s="625" t="s">
        <v>298</v>
      </c>
      <c r="C38" s="601"/>
      <c r="D38" s="601"/>
      <c r="E38" s="603"/>
      <c r="F38" s="614"/>
      <c r="G38" s="99">
        <v>0</v>
      </c>
      <c r="H38" s="99">
        <f t="shared" si="0"/>
        <v>0</v>
      </c>
    </row>
    <row r="39" spans="1:8" s="340" customFormat="1" ht="31.5">
      <c r="A39" s="605">
        <v>1</v>
      </c>
      <c r="B39" s="625" t="s">
        <v>1171</v>
      </c>
      <c r="C39" s="601"/>
      <c r="D39" s="601"/>
      <c r="E39" s="603" t="s">
        <v>26</v>
      </c>
      <c r="F39" s="614">
        <v>2</v>
      </c>
      <c r="G39" s="99">
        <v>10100000</v>
      </c>
      <c r="H39" s="99">
        <f t="shared" si="0"/>
        <v>20200000</v>
      </c>
    </row>
    <row r="40" spans="1:8" s="340" customFormat="1" ht="15.75">
      <c r="A40" s="603" t="s">
        <v>8</v>
      </c>
      <c r="B40" s="626" t="s">
        <v>1172</v>
      </c>
      <c r="C40" s="601"/>
      <c r="D40" s="601"/>
      <c r="E40" s="603"/>
      <c r="F40" s="614"/>
      <c r="G40" s="99">
        <v>0</v>
      </c>
      <c r="H40" s="99">
        <f t="shared" si="0"/>
        <v>0</v>
      </c>
    </row>
    <row r="41" spans="1:8" s="340" customFormat="1" ht="47.25">
      <c r="A41" s="603" t="s">
        <v>987</v>
      </c>
      <c r="B41" s="626" t="s">
        <v>1904</v>
      </c>
      <c r="C41" s="601"/>
      <c r="D41" s="601"/>
      <c r="E41" s="603"/>
      <c r="F41" s="606"/>
      <c r="G41" s="99">
        <v>0</v>
      </c>
      <c r="H41" s="99">
        <f t="shared" si="0"/>
        <v>0</v>
      </c>
    </row>
    <row r="42" spans="1:8" s="340" customFormat="1" ht="63">
      <c r="A42" s="627" t="s">
        <v>1258</v>
      </c>
      <c r="B42" s="628" t="s">
        <v>989</v>
      </c>
      <c r="C42" s="610"/>
      <c r="D42" s="610"/>
      <c r="E42" s="629" t="s">
        <v>303</v>
      </c>
      <c r="F42" s="607">
        <v>1</v>
      </c>
      <c r="G42" s="99">
        <v>1500000</v>
      </c>
      <c r="H42" s="99">
        <f t="shared" si="0"/>
        <v>1500000</v>
      </c>
    </row>
    <row r="43" spans="1:8" s="340" customFormat="1" ht="44.25">
      <c r="A43" s="605">
        <v>2</v>
      </c>
      <c r="B43" s="436" t="s">
        <v>1905</v>
      </c>
      <c r="C43" s="601"/>
      <c r="D43" s="601"/>
      <c r="E43" s="607" t="s">
        <v>111</v>
      </c>
      <c r="F43" s="606">
        <v>1</v>
      </c>
      <c r="G43" s="99">
        <v>2000000</v>
      </c>
      <c r="H43" s="99">
        <f>F43*G43</f>
        <v>2000000</v>
      </c>
    </row>
    <row r="44" spans="1:8" s="340" customFormat="1" ht="15.75">
      <c r="A44" s="605"/>
      <c r="B44" s="438" t="s">
        <v>1173</v>
      </c>
      <c r="C44" s="601"/>
      <c r="D44" s="601"/>
      <c r="E44" s="605"/>
      <c r="F44" s="619"/>
      <c r="G44" s="99"/>
      <c r="H44" s="602"/>
    </row>
    <row r="45" spans="1:8" s="340" customFormat="1" ht="47.25">
      <c r="A45" s="605"/>
      <c r="B45" s="626" t="s">
        <v>1174</v>
      </c>
      <c r="C45" s="601"/>
      <c r="D45" s="601"/>
      <c r="E45" s="605"/>
      <c r="F45" s="619"/>
      <c r="G45" s="99"/>
      <c r="H45" s="602"/>
    </row>
    <row r="46" spans="1:8" s="340" customFormat="1" ht="31.5">
      <c r="A46" s="605"/>
      <c r="B46" s="626" t="s">
        <v>1175</v>
      </c>
      <c r="C46" s="601"/>
      <c r="D46" s="601"/>
      <c r="E46" s="605"/>
      <c r="F46" s="619"/>
      <c r="G46" s="99"/>
      <c r="H46" s="602"/>
    </row>
    <row r="47" spans="1:8" s="340" customFormat="1" ht="15.75">
      <c r="A47" s="610" t="s">
        <v>147</v>
      </c>
      <c r="B47" s="687" t="s">
        <v>522</v>
      </c>
      <c r="C47" s="601"/>
      <c r="D47" s="601"/>
      <c r="E47" s="603"/>
      <c r="F47" s="606"/>
      <c r="G47" s="99">
        <v>0</v>
      </c>
      <c r="H47" s="99">
        <f t="shared" si="0"/>
        <v>0</v>
      </c>
    </row>
    <row r="48" spans="1:8" s="340" customFormat="1" ht="15.75">
      <c r="A48" s="605">
        <v>1</v>
      </c>
      <c r="B48" s="621" t="s">
        <v>1176</v>
      </c>
      <c r="C48" s="601"/>
      <c r="D48" s="601"/>
      <c r="E48" s="603"/>
      <c r="F48" s="606"/>
      <c r="G48" s="99">
        <v>0</v>
      </c>
      <c r="H48" s="99">
        <f t="shared" si="0"/>
        <v>0</v>
      </c>
    </row>
    <row r="49" spans="1:8" s="340" customFormat="1" ht="31.5">
      <c r="A49" s="603"/>
      <c r="B49" s="688" t="s">
        <v>1177</v>
      </c>
      <c r="C49" s="601"/>
      <c r="D49" s="601"/>
      <c r="E49" s="603"/>
      <c r="F49" s="614"/>
      <c r="G49" s="99">
        <v>0</v>
      </c>
      <c r="H49" s="99">
        <f t="shared" si="0"/>
        <v>0</v>
      </c>
    </row>
    <row r="50" spans="1:8" s="340" customFormat="1" ht="15.75">
      <c r="A50" s="603"/>
      <c r="B50" s="689" t="s">
        <v>1178</v>
      </c>
      <c r="C50" s="601"/>
      <c r="D50" s="601"/>
      <c r="E50" s="603" t="s">
        <v>63</v>
      </c>
      <c r="F50" s="614">
        <v>12</v>
      </c>
      <c r="G50" s="99">
        <v>145000</v>
      </c>
      <c r="H50" s="99">
        <f t="shared" si="0"/>
        <v>1740000</v>
      </c>
    </row>
    <row r="51" spans="1:8" s="340" customFormat="1" ht="15.75">
      <c r="A51" s="603"/>
      <c r="B51" s="689" t="s">
        <v>1179</v>
      </c>
      <c r="C51" s="601"/>
      <c r="D51" s="601"/>
      <c r="E51" s="603" t="s">
        <v>63</v>
      </c>
      <c r="F51" s="614">
        <v>4</v>
      </c>
      <c r="G51" s="99">
        <v>133200</v>
      </c>
      <c r="H51" s="99">
        <f t="shared" si="0"/>
        <v>532800</v>
      </c>
    </row>
    <row r="52" spans="1:8" s="340" customFormat="1" ht="15.75">
      <c r="A52" s="610">
        <v>2</v>
      </c>
      <c r="B52" s="687" t="s">
        <v>1180</v>
      </c>
      <c r="C52" s="601"/>
      <c r="D52" s="601"/>
      <c r="E52" s="630"/>
      <c r="F52" s="609"/>
      <c r="G52" s="99">
        <v>0</v>
      </c>
      <c r="H52" s="99">
        <f t="shared" si="0"/>
        <v>0</v>
      </c>
    </row>
    <row r="53" spans="1:8" s="340" customFormat="1" ht="15.75">
      <c r="A53" s="607" t="s">
        <v>51</v>
      </c>
      <c r="B53" s="626" t="s">
        <v>1181</v>
      </c>
      <c r="C53" s="601"/>
      <c r="D53" s="601"/>
      <c r="E53" s="607" t="s">
        <v>111</v>
      </c>
      <c r="F53" s="609">
        <v>1</v>
      </c>
      <c r="G53" s="99">
        <v>820100</v>
      </c>
      <c r="H53" s="99">
        <f t="shared" si="0"/>
        <v>820100</v>
      </c>
    </row>
    <row r="54" spans="1:8" s="340" customFormat="1" ht="15.75">
      <c r="A54" s="607" t="s">
        <v>1262</v>
      </c>
      <c r="B54" s="626" t="s">
        <v>1182</v>
      </c>
      <c r="C54" s="601"/>
      <c r="D54" s="601"/>
      <c r="E54" s="607" t="s">
        <v>111</v>
      </c>
      <c r="F54" s="609">
        <v>3</v>
      </c>
      <c r="G54" s="99">
        <v>410100</v>
      </c>
      <c r="H54" s="99">
        <f t="shared" si="0"/>
        <v>1230300</v>
      </c>
    </row>
    <row r="55" spans="1:8" s="340" customFormat="1" ht="15.75">
      <c r="A55" s="607" t="s">
        <v>1265</v>
      </c>
      <c r="B55" s="626" t="s">
        <v>1183</v>
      </c>
      <c r="C55" s="601"/>
      <c r="D55" s="601"/>
      <c r="E55" s="607" t="s">
        <v>111</v>
      </c>
      <c r="F55" s="609">
        <v>2</v>
      </c>
      <c r="G55" s="99">
        <v>410100</v>
      </c>
      <c r="H55" s="99">
        <f t="shared" si="0"/>
        <v>820200</v>
      </c>
    </row>
    <row r="56" spans="1:8" s="340" customFormat="1" ht="15.75">
      <c r="A56" s="607" t="s">
        <v>1343</v>
      </c>
      <c r="B56" s="626" t="s">
        <v>1184</v>
      </c>
      <c r="C56" s="601"/>
      <c r="D56" s="601"/>
      <c r="E56" s="607" t="s">
        <v>111</v>
      </c>
      <c r="F56" s="631">
        <v>1</v>
      </c>
      <c r="G56" s="99">
        <v>410100</v>
      </c>
      <c r="H56" s="99">
        <f t="shared" si="0"/>
        <v>410100</v>
      </c>
    </row>
    <row r="57" spans="1:8" s="340" customFormat="1" ht="15.75">
      <c r="A57" s="607" t="s">
        <v>1345</v>
      </c>
      <c r="B57" s="626" t="s">
        <v>1185</v>
      </c>
      <c r="C57" s="601"/>
      <c r="D57" s="601"/>
      <c r="E57" s="607" t="s">
        <v>111</v>
      </c>
      <c r="F57" s="631">
        <v>1</v>
      </c>
      <c r="G57" s="99">
        <v>205000</v>
      </c>
      <c r="H57" s="99">
        <f t="shared" si="0"/>
        <v>205000</v>
      </c>
    </row>
    <row r="58" spans="1:8" s="340" customFormat="1" ht="15.75">
      <c r="A58" s="607" t="s">
        <v>1347</v>
      </c>
      <c r="B58" s="626" t="s">
        <v>1186</v>
      </c>
      <c r="C58" s="601"/>
      <c r="D58" s="601"/>
      <c r="E58" s="607" t="s">
        <v>111</v>
      </c>
      <c r="F58" s="631">
        <v>2</v>
      </c>
      <c r="G58" s="99">
        <v>82000</v>
      </c>
      <c r="H58" s="99">
        <f t="shared" si="0"/>
        <v>164000</v>
      </c>
    </row>
    <row r="59" spans="1:8" s="340" customFormat="1" ht="15.75">
      <c r="A59" s="607" t="s">
        <v>1361</v>
      </c>
      <c r="B59" s="626" t="s">
        <v>1187</v>
      </c>
      <c r="C59" s="601"/>
      <c r="D59" s="601"/>
      <c r="E59" s="607" t="s">
        <v>111</v>
      </c>
      <c r="F59" s="609">
        <v>1</v>
      </c>
      <c r="G59" s="99">
        <v>410100</v>
      </c>
      <c r="H59" s="99">
        <f t="shared" si="0"/>
        <v>410100</v>
      </c>
    </row>
    <row r="60" spans="1:8" s="340" customFormat="1" ht="31.5">
      <c r="A60" s="607" t="s">
        <v>1363</v>
      </c>
      <c r="B60" s="626" t="s">
        <v>1188</v>
      </c>
      <c r="C60" s="601"/>
      <c r="D60" s="601"/>
      <c r="E60" s="607" t="s">
        <v>111</v>
      </c>
      <c r="F60" s="609">
        <v>5</v>
      </c>
      <c r="G60" s="99">
        <v>123000</v>
      </c>
      <c r="H60" s="99">
        <f t="shared" si="0"/>
        <v>615000</v>
      </c>
    </row>
    <row r="61" spans="1:8" s="340" customFormat="1" ht="31.5">
      <c r="A61" s="610" t="s">
        <v>37</v>
      </c>
      <c r="B61" s="611" t="s">
        <v>1199</v>
      </c>
      <c r="C61" s="601"/>
      <c r="D61" s="601"/>
      <c r="E61" s="630"/>
      <c r="F61" s="632"/>
      <c r="G61" s="99">
        <v>0</v>
      </c>
      <c r="H61" s="602">
        <f>SUM(H63:H149)</f>
        <v>257803200</v>
      </c>
    </row>
    <row r="62" spans="1:8" s="340" customFormat="1" ht="15.75">
      <c r="A62" s="633" t="s">
        <v>89</v>
      </c>
      <c r="B62" s="634" t="s">
        <v>1200</v>
      </c>
      <c r="C62" s="635"/>
      <c r="D62" s="636"/>
      <c r="E62" s="636"/>
      <c r="F62" s="637"/>
      <c r="G62" s="638"/>
      <c r="H62" s="638"/>
    </row>
    <row r="63" spans="1:8" s="340" customFormat="1" ht="15.75">
      <c r="A63" s="633">
        <v>1</v>
      </c>
      <c r="B63" s="634" t="s">
        <v>1126</v>
      </c>
      <c r="C63" s="635"/>
      <c r="D63" s="636"/>
      <c r="E63" s="636"/>
      <c r="F63" s="637"/>
      <c r="G63" s="638"/>
      <c r="H63" s="638"/>
    </row>
    <row r="64" spans="1:8" s="340" customFormat="1" ht="31.5">
      <c r="A64" s="610"/>
      <c r="B64" s="622" t="s">
        <v>1201</v>
      </c>
      <c r="C64" s="607" t="s">
        <v>1202</v>
      </c>
      <c r="D64" s="639" t="s">
        <v>1022</v>
      </c>
      <c r="E64" s="630" t="s">
        <v>204</v>
      </c>
      <c r="F64" s="650">
        <v>3</v>
      </c>
      <c r="G64" s="640">
        <v>435000</v>
      </c>
      <c r="H64" s="641">
        <f>F64*G64</f>
        <v>1305000</v>
      </c>
    </row>
    <row r="65" spans="1:8" s="340" customFormat="1" ht="15.75">
      <c r="A65" s="636"/>
      <c r="B65" s="642" t="s">
        <v>1028</v>
      </c>
      <c r="C65" s="635" t="s">
        <v>1029</v>
      </c>
      <c r="D65" s="636" t="s">
        <v>289</v>
      </c>
      <c r="E65" s="636" t="s">
        <v>446</v>
      </c>
      <c r="F65" s="637">
        <v>10</v>
      </c>
      <c r="G65" s="638">
        <v>21000</v>
      </c>
      <c r="H65" s="641">
        <f t="shared" ref="H65:H68" si="1">F65*G65</f>
        <v>210000</v>
      </c>
    </row>
    <row r="66" spans="1:8" s="340" customFormat="1" ht="15.75">
      <c r="A66" s="610"/>
      <c r="B66" s="643" t="s">
        <v>445</v>
      </c>
      <c r="C66" s="607" t="s">
        <v>1203</v>
      </c>
      <c r="D66" s="639" t="s">
        <v>39</v>
      </c>
      <c r="E66" s="630" t="s">
        <v>204</v>
      </c>
      <c r="F66" s="650">
        <v>2</v>
      </c>
      <c r="G66" s="641">
        <v>200000</v>
      </c>
      <c r="H66" s="641">
        <f t="shared" si="1"/>
        <v>400000</v>
      </c>
    </row>
    <row r="67" spans="1:8" s="340" customFormat="1" ht="15.75">
      <c r="A67" s="636"/>
      <c r="B67" s="642" t="s">
        <v>55</v>
      </c>
      <c r="C67" s="635"/>
      <c r="D67" s="636" t="s">
        <v>188</v>
      </c>
      <c r="E67" s="636" t="s">
        <v>204</v>
      </c>
      <c r="F67" s="637">
        <v>5</v>
      </c>
      <c r="G67" s="638">
        <v>14500</v>
      </c>
      <c r="H67" s="641">
        <f t="shared" si="1"/>
        <v>72500</v>
      </c>
    </row>
    <row r="68" spans="1:8" s="340" customFormat="1" ht="15.75">
      <c r="A68" s="610"/>
      <c r="B68" s="643" t="s">
        <v>52</v>
      </c>
      <c r="C68" s="607" t="s">
        <v>1204</v>
      </c>
      <c r="D68" s="636" t="s">
        <v>188</v>
      </c>
      <c r="E68" s="630" t="s">
        <v>53</v>
      </c>
      <c r="F68" s="614">
        <v>5</v>
      </c>
      <c r="G68" s="640">
        <v>12000</v>
      </c>
      <c r="H68" s="641">
        <f t="shared" si="1"/>
        <v>60000</v>
      </c>
    </row>
    <row r="69" spans="1:8" s="340" customFormat="1" ht="31.5">
      <c r="A69" s="610"/>
      <c r="B69" s="644" t="s">
        <v>1111</v>
      </c>
      <c r="C69" s="645" t="s">
        <v>1205</v>
      </c>
      <c r="D69" s="630" t="s">
        <v>39</v>
      </c>
      <c r="E69" s="615" t="s">
        <v>595</v>
      </c>
      <c r="F69" s="614">
        <v>8</v>
      </c>
      <c r="G69" s="638">
        <v>265000</v>
      </c>
      <c r="H69" s="638">
        <f>F69*G69</f>
        <v>2120000</v>
      </c>
    </row>
    <row r="70" spans="1:8" s="340" customFormat="1" ht="15.75">
      <c r="A70" s="610"/>
      <c r="B70" s="644" t="s">
        <v>1027</v>
      </c>
      <c r="C70" s="645"/>
      <c r="D70" s="630" t="s">
        <v>39</v>
      </c>
      <c r="E70" s="615" t="s">
        <v>204</v>
      </c>
      <c r="F70" s="614">
        <v>8</v>
      </c>
      <c r="G70" s="638">
        <v>20000</v>
      </c>
      <c r="H70" s="638">
        <f>F70*G70</f>
        <v>160000</v>
      </c>
    </row>
    <row r="71" spans="1:8" s="340" customFormat="1" ht="15.75">
      <c r="A71" s="610">
        <v>2</v>
      </c>
      <c r="B71" s="646" t="s">
        <v>1206</v>
      </c>
      <c r="C71" s="610"/>
      <c r="D71" s="610"/>
      <c r="E71" s="647"/>
      <c r="F71" s="690"/>
      <c r="G71" s="648"/>
      <c r="H71" s="649"/>
    </row>
    <row r="72" spans="1:8" s="340" customFormat="1" ht="15.75">
      <c r="A72" s="610"/>
      <c r="B72" s="644" t="s">
        <v>1111</v>
      </c>
      <c r="C72" s="645" t="s">
        <v>1026</v>
      </c>
      <c r="D72" s="630" t="s">
        <v>39</v>
      </c>
      <c r="E72" s="615" t="s">
        <v>595</v>
      </c>
      <c r="F72" s="650">
        <v>3</v>
      </c>
      <c r="G72" s="638">
        <v>265000</v>
      </c>
      <c r="H72" s="638">
        <f>F72*G72</f>
        <v>795000</v>
      </c>
    </row>
    <row r="73" spans="1:8" s="340" customFormat="1" ht="15.75">
      <c r="A73" s="610"/>
      <c r="B73" s="644" t="s">
        <v>1027</v>
      </c>
      <c r="C73" s="645"/>
      <c r="D73" s="630" t="s">
        <v>39</v>
      </c>
      <c r="E73" s="615" t="s">
        <v>204</v>
      </c>
      <c r="F73" s="650">
        <v>3</v>
      </c>
      <c r="G73" s="638">
        <v>20000</v>
      </c>
      <c r="H73" s="638">
        <f>F73*G73</f>
        <v>60000</v>
      </c>
    </row>
    <row r="74" spans="1:8" s="340" customFormat="1" ht="15.75">
      <c r="A74" s="610">
        <v>3</v>
      </c>
      <c r="B74" s="646" t="s">
        <v>1016</v>
      </c>
      <c r="C74" s="610"/>
      <c r="D74" s="610"/>
      <c r="E74" s="647"/>
      <c r="F74" s="691"/>
      <c r="G74" s="648"/>
      <c r="H74" s="649"/>
    </row>
    <row r="75" spans="1:8" s="340" customFormat="1" ht="15.75">
      <c r="A75" s="607"/>
      <c r="B75" s="644" t="s">
        <v>1111</v>
      </c>
      <c r="C75" s="645" t="s">
        <v>1026</v>
      </c>
      <c r="D75" s="630" t="s">
        <v>39</v>
      </c>
      <c r="E75" s="615" t="s">
        <v>595</v>
      </c>
      <c r="F75" s="650">
        <v>3</v>
      </c>
      <c r="G75" s="638">
        <v>265000</v>
      </c>
      <c r="H75" s="638">
        <f>F75*G75</f>
        <v>795000</v>
      </c>
    </row>
    <row r="76" spans="1:8" s="340" customFormat="1" ht="15.75">
      <c r="A76" s="610"/>
      <c r="B76" s="644" t="s">
        <v>1027</v>
      </c>
      <c r="C76" s="645"/>
      <c r="D76" s="630" t="s">
        <v>39</v>
      </c>
      <c r="E76" s="615" t="s">
        <v>204</v>
      </c>
      <c r="F76" s="650">
        <v>3</v>
      </c>
      <c r="G76" s="638">
        <v>20000</v>
      </c>
      <c r="H76" s="638">
        <f>F76*G76</f>
        <v>60000</v>
      </c>
    </row>
    <row r="77" spans="1:8" s="340" customFormat="1" ht="15.75">
      <c r="A77" s="610" t="s">
        <v>101</v>
      </c>
      <c r="B77" s="618" t="s">
        <v>127</v>
      </c>
      <c r="C77" s="607"/>
      <c r="D77" s="607"/>
      <c r="E77" s="607"/>
      <c r="F77" s="651"/>
      <c r="G77" s="692"/>
      <c r="H77" s="640"/>
    </row>
    <row r="78" spans="1:8" s="340" customFormat="1" ht="16.5">
      <c r="A78" s="693">
        <v>1</v>
      </c>
      <c r="B78" s="694" t="s">
        <v>1136</v>
      </c>
      <c r="C78" s="601"/>
      <c r="D78" s="601"/>
      <c r="E78" s="605"/>
      <c r="F78" s="619"/>
      <c r="G78" s="99"/>
      <c r="H78" s="99"/>
    </row>
    <row r="79" spans="1:8" s="340" customFormat="1" ht="16.5">
      <c r="A79" s="693"/>
      <c r="B79" s="694" t="s">
        <v>1137</v>
      </c>
      <c r="C79" s="601"/>
      <c r="D79" s="601"/>
      <c r="E79" s="695"/>
      <c r="F79" s="695"/>
      <c r="G79" s="99"/>
      <c r="H79" s="99"/>
    </row>
    <row r="80" spans="1:8" s="340" customFormat="1" ht="15.75">
      <c r="A80" s="695" t="s">
        <v>8</v>
      </c>
      <c r="B80" s="694" t="s">
        <v>1138</v>
      </c>
      <c r="C80" s="601"/>
      <c r="D80" s="601"/>
      <c r="E80" s="695"/>
      <c r="F80" s="695"/>
      <c r="G80" s="99"/>
      <c r="H80" s="99"/>
    </row>
    <row r="81" spans="1:8" s="340" customFormat="1" ht="47.25">
      <c r="A81" s="7"/>
      <c r="B81" s="696" t="s">
        <v>1139</v>
      </c>
      <c r="C81" s="7" t="s">
        <v>1140</v>
      </c>
      <c r="D81" s="653" t="s">
        <v>1207</v>
      </c>
      <c r="E81" s="7" t="s">
        <v>111</v>
      </c>
      <c r="F81" s="7">
        <v>8</v>
      </c>
      <c r="G81" s="654">
        <f>618000*1.1</f>
        <v>679800</v>
      </c>
      <c r="H81" s="99">
        <f>F81*G81</f>
        <v>5438400</v>
      </c>
    </row>
    <row r="82" spans="1:8" s="340" customFormat="1" ht="47.25">
      <c r="A82" s="7"/>
      <c r="B82" s="696" t="s">
        <v>1141</v>
      </c>
      <c r="C82" s="7" t="s">
        <v>1142</v>
      </c>
      <c r="D82" s="653" t="s">
        <v>1207</v>
      </c>
      <c r="E82" s="7" t="s">
        <v>111</v>
      </c>
      <c r="F82" s="7">
        <v>8</v>
      </c>
      <c r="G82" s="654">
        <f>1360000*1.1</f>
        <v>1496000.0000000002</v>
      </c>
      <c r="H82" s="99">
        <f t="shared" ref="H82:H90" si="2">F82*G82</f>
        <v>11968000.000000002</v>
      </c>
    </row>
    <row r="83" spans="1:8" s="340" customFormat="1" ht="47.25">
      <c r="A83" s="7"/>
      <c r="B83" s="696" t="s">
        <v>1143</v>
      </c>
      <c r="C83" s="7" t="s">
        <v>1144</v>
      </c>
      <c r="D83" s="653" t="s">
        <v>1207</v>
      </c>
      <c r="E83" s="7" t="s">
        <v>111</v>
      </c>
      <c r="F83" s="7">
        <v>4</v>
      </c>
      <c r="G83" s="654">
        <f>620000*1.1</f>
        <v>682000</v>
      </c>
      <c r="H83" s="99">
        <f t="shared" si="2"/>
        <v>2728000</v>
      </c>
    </row>
    <row r="84" spans="1:8" s="340" customFormat="1" ht="47.25">
      <c r="A84" s="7"/>
      <c r="B84" s="696" t="s">
        <v>1145</v>
      </c>
      <c r="C84" s="7" t="s">
        <v>1146</v>
      </c>
      <c r="D84" s="653" t="s">
        <v>1207</v>
      </c>
      <c r="E84" s="7" t="s">
        <v>111</v>
      </c>
      <c r="F84" s="7">
        <v>4</v>
      </c>
      <c r="G84" s="654">
        <f>498000*1.1</f>
        <v>547800</v>
      </c>
      <c r="H84" s="99">
        <f t="shared" si="2"/>
        <v>2191200</v>
      </c>
    </row>
    <row r="85" spans="1:8" s="340" customFormat="1" ht="47.25">
      <c r="A85" s="7"/>
      <c r="B85" s="696" t="s">
        <v>1147</v>
      </c>
      <c r="C85" s="7" t="s">
        <v>1148</v>
      </c>
      <c r="D85" s="653" t="s">
        <v>1207</v>
      </c>
      <c r="E85" s="7" t="s">
        <v>111</v>
      </c>
      <c r="F85" s="7">
        <v>2</v>
      </c>
      <c r="G85" s="654">
        <f>325000*1.1</f>
        <v>357500</v>
      </c>
      <c r="H85" s="99">
        <f t="shared" si="2"/>
        <v>715000</v>
      </c>
    </row>
    <row r="86" spans="1:8" s="340" customFormat="1" ht="47.25">
      <c r="A86" s="7"/>
      <c r="B86" s="696" t="s">
        <v>1149</v>
      </c>
      <c r="C86" s="7" t="s">
        <v>1150</v>
      </c>
      <c r="D86" s="653" t="s">
        <v>1207</v>
      </c>
      <c r="E86" s="7" t="s">
        <v>111</v>
      </c>
      <c r="F86" s="7">
        <v>1</v>
      </c>
      <c r="G86" s="654">
        <f>1231000*1.1</f>
        <v>1354100</v>
      </c>
      <c r="H86" s="99">
        <f t="shared" si="2"/>
        <v>1354100</v>
      </c>
    </row>
    <row r="87" spans="1:8" s="340" customFormat="1" ht="47.25">
      <c r="A87" s="7"/>
      <c r="B87" s="696" t="s">
        <v>1151</v>
      </c>
      <c r="C87" s="7" t="s">
        <v>1152</v>
      </c>
      <c r="D87" s="653" t="s">
        <v>1207</v>
      </c>
      <c r="E87" s="7" t="s">
        <v>111</v>
      </c>
      <c r="F87" s="7">
        <v>1</v>
      </c>
      <c r="G87" s="654">
        <f>1734000*1.1</f>
        <v>1907400.0000000002</v>
      </c>
      <c r="H87" s="99">
        <f t="shared" si="2"/>
        <v>1907400.0000000002</v>
      </c>
    </row>
    <row r="88" spans="1:8" s="340" customFormat="1" ht="15.75">
      <c r="A88" s="695" t="s">
        <v>987</v>
      </c>
      <c r="B88" s="694" t="s">
        <v>1153</v>
      </c>
      <c r="C88" s="697"/>
      <c r="D88" s="635"/>
      <c r="E88" s="695"/>
      <c r="F88" s="695"/>
      <c r="G88" s="99"/>
      <c r="H88" s="99">
        <f t="shared" si="2"/>
        <v>0</v>
      </c>
    </row>
    <row r="89" spans="1:8" s="340" customFormat="1" ht="47.25">
      <c r="A89" s="697"/>
      <c r="B89" s="698" t="s">
        <v>1154</v>
      </c>
      <c r="C89" s="695"/>
      <c r="D89" s="635" t="s">
        <v>1207</v>
      </c>
      <c r="E89" s="607" t="s">
        <v>111</v>
      </c>
      <c r="F89" s="695">
        <v>3</v>
      </c>
      <c r="G89" s="99">
        <v>2464500</v>
      </c>
      <c r="H89" s="99">
        <f t="shared" si="2"/>
        <v>7393500</v>
      </c>
    </row>
    <row r="90" spans="1:8" s="340" customFormat="1" ht="47.25">
      <c r="A90" s="697"/>
      <c r="B90" s="698" t="s">
        <v>1155</v>
      </c>
      <c r="C90" s="695" t="s">
        <v>1156</v>
      </c>
      <c r="D90" s="635" t="s">
        <v>1207</v>
      </c>
      <c r="E90" s="607" t="s">
        <v>111</v>
      </c>
      <c r="F90" s="695">
        <v>3</v>
      </c>
      <c r="G90" s="99">
        <v>1500000</v>
      </c>
      <c r="H90" s="99">
        <f t="shared" si="2"/>
        <v>4500000</v>
      </c>
    </row>
    <row r="91" spans="1:8" s="340" customFormat="1" ht="15.75">
      <c r="A91" s="697">
        <v>2</v>
      </c>
      <c r="B91" s="694" t="s">
        <v>1157</v>
      </c>
      <c r="C91" s="601"/>
      <c r="D91" s="601"/>
      <c r="E91" s="695"/>
      <c r="F91" s="695"/>
      <c r="G91" s="99"/>
      <c r="H91" s="99"/>
    </row>
    <row r="92" spans="1:8" s="340" customFormat="1" ht="15.75">
      <c r="A92" s="695" t="s">
        <v>51</v>
      </c>
      <c r="B92" s="694" t="s">
        <v>1138</v>
      </c>
      <c r="C92" s="601"/>
      <c r="D92" s="601"/>
      <c r="E92" s="605"/>
      <c r="F92" s="619"/>
      <c r="G92" s="99"/>
      <c r="H92" s="99"/>
    </row>
    <row r="93" spans="1:8" s="340" customFormat="1" ht="15.75">
      <c r="A93" s="697"/>
      <c r="B93" s="694" t="s">
        <v>1137</v>
      </c>
      <c r="C93" s="601"/>
      <c r="D93" s="601"/>
      <c r="E93" s="605"/>
      <c r="F93" s="619"/>
      <c r="G93" s="99"/>
      <c r="H93" s="99"/>
    </row>
    <row r="94" spans="1:8" s="340" customFormat="1" ht="47.25">
      <c r="A94" s="4"/>
      <c r="B94" s="696" t="s">
        <v>1139</v>
      </c>
      <c r="C94" s="7" t="s">
        <v>1140</v>
      </c>
      <c r="D94" s="653" t="s">
        <v>1207</v>
      </c>
      <c r="E94" s="7" t="s">
        <v>111</v>
      </c>
      <c r="F94" s="7">
        <v>8</v>
      </c>
      <c r="G94" s="654">
        <f>618000*1.1</f>
        <v>679800</v>
      </c>
      <c r="H94" s="99">
        <f>F94*G94</f>
        <v>5438400</v>
      </c>
    </row>
    <row r="95" spans="1:8" s="340" customFormat="1" ht="47.25">
      <c r="A95" s="4"/>
      <c r="B95" s="696" t="s">
        <v>1141</v>
      </c>
      <c r="C95" s="7" t="s">
        <v>1142</v>
      </c>
      <c r="D95" s="653" t="s">
        <v>1207</v>
      </c>
      <c r="E95" s="7" t="s">
        <v>111</v>
      </c>
      <c r="F95" s="7">
        <v>8</v>
      </c>
      <c r="G95" s="654">
        <f>1360000*1.1</f>
        <v>1496000.0000000002</v>
      </c>
      <c r="H95" s="99">
        <f t="shared" ref="H95:H103" si="3">F95*G95</f>
        <v>11968000.000000002</v>
      </c>
    </row>
    <row r="96" spans="1:8" s="340" customFormat="1" ht="47.25">
      <c r="A96" s="4"/>
      <c r="B96" s="696" t="s">
        <v>1143</v>
      </c>
      <c r="C96" s="7" t="s">
        <v>1144</v>
      </c>
      <c r="D96" s="653" t="s">
        <v>1207</v>
      </c>
      <c r="E96" s="7" t="s">
        <v>111</v>
      </c>
      <c r="F96" s="7">
        <v>4</v>
      </c>
      <c r="G96" s="654">
        <f>620000*1.1</f>
        <v>682000</v>
      </c>
      <c r="H96" s="99">
        <f t="shared" si="3"/>
        <v>2728000</v>
      </c>
    </row>
    <row r="97" spans="1:8" s="340" customFormat="1" ht="47.25">
      <c r="A97" s="4"/>
      <c r="B97" s="696" t="s">
        <v>1145</v>
      </c>
      <c r="C97" s="7" t="s">
        <v>1146</v>
      </c>
      <c r="D97" s="653" t="s">
        <v>1207</v>
      </c>
      <c r="E97" s="7" t="s">
        <v>111</v>
      </c>
      <c r="F97" s="7">
        <v>4</v>
      </c>
      <c r="G97" s="654">
        <f>498000*1.1</f>
        <v>547800</v>
      </c>
      <c r="H97" s="99">
        <f t="shared" si="3"/>
        <v>2191200</v>
      </c>
    </row>
    <row r="98" spans="1:8" s="340" customFormat="1" ht="47.25">
      <c r="A98" s="4"/>
      <c r="B98" s="696" t="s">
        <v>1147</v>
      </c>
      <c r="C98" s="7" t="s">
        <v>1148</v>
      </c>
      <c r="D98" s="653" t="s">
        <v>1207</v>
      </c>
      <c r="E98" s="7" t="s">
        <v>111</v>
      </c>
      <c r="F98" s="7">
        <v>2</v>
      </c>
      <c r="G98" s="654">
        <f>325000*1.1</f>
        <v>357500</v>
      </c>
      <c r="H98" s="99">
        <f t="shared" si="3"/>
        <v>715000</v>
      </c>
    </row>
    <row r="99" spans="1:8" s="340" customFormat="1" ht="47.25">
      <c r="A99" s="4"/>
      <c r="B99" s="696" t="s">
        <v>1149</v>
      </c>
      <c r="C99" s="7" t="s">
        <v>1150</v>
      </c>
      <c r="D99" s="653" t="s">
        <v>1207</v>
      </c>
      <c r="E99" s="7" t="s">
        <v>111</v>
      </c>
      <c r="F99" s="7">
        <v>1</v>
      </c>
      <c r="G99" s="654">
        <f>1231000*1.1</f>
        <v>1354100</v>
      </c>
      <c r="H99" s="99">
        <f t="shared" si="3"/>
        <v>1354100</v>
      </c>
    </row>
    <row r="100" spans="1:8" s="340" customFormat="1" ht="47.25">
      <c r="A100" s="4"/>
      <c r="B100" s="696" t="s">
        <v>1151</v>
      </c>
      <c r="C100" s="7" t="s">
        <v>1152</v>
      </c>
      <c r="D100" s="653" t="s">
        <v>1207</v>
      </c>
      <c r="E100" s="7" t="s">
        <v>111</v>
      </c>
      <c r="F100" s="7">
        <v>1</v>
      </c>
      <c r="G100" s="654">
        <f>1734000*1.1</f>
        <v>1907400.0000000002</v>
      </c>
      <c r="H100" s="99">
        <f t="shared" si="3"/>
        <v>1907400.0000000002</v>
      </c>
    </row>
    <row r="101" spans="1:8" s="340" customFormat="1" ht="15.75">
      <c r="A101" s="697">
        <v>2</v>
      </c>
      <c r="B101" s="694" t="s">
        <v>1153</v>
      </c>
      <c r="C101" s="695"/>
      <c r="D101" s="635"/>
      <c r="E101" s="697"/>
      <c r="F101" s="697"/>
      <c r="G101" s="99"/>
      <c r="H101" s="99">
        <f t="shared" si="3"/>
        <v>0</v>
      </c>
    </row>
    <row r="102" spans="1:8" s="340" customFormat="1" ht="47.25">
      <c r="A102" s="697"/>
      <c r="B102" s="698" t="s">
        <v>1154</v>
      </c>
      <c r="C102" s="695"/>
      <c r="D102" s="635" t="s">
        <v>1207</v>
      </c>
      <c r="E102" s="607" t="s">
        <v>111</v>
      </c>
      <c r="F102" s="695">
        <v>3</v>
      </c>
      <c r="G102" s="99">
        <v>2654000</v>
      </c>
      <c r="H102" s="99">
        <f t="shared" si="3"/>
        <v>7962000</v>
      </c>
    </row>
    <row r="103" spans="1:8" s="340" customFormat="1" ht="47.25">
      <c r="A103" s="697"/>
      <c r="B103" s="698" t="s">
        <v>1155</v>
      </c>
      <c r="C103" s="695" t="s">
        <v>1156</v>
      </c>
      <c r="D103" s="635" t="s">
        <v>1207</v>
      </c>
      <c r="E103" s="607" t="s">
        <v>111</v>
      </c>
      <c r="F103" s="695">
        <v>3</v>
      </c>
      <c r="G103" s="99">
        <v>1500000</v>
      </c>
      <c r="H103" s="99">
        <f t="shared" si="3"/>
        <v>4500000</v>
      </c>
    </row>
    <row r="104" spans="1:8" s="340" customFormat="1" ht="15.75">
      <c r="A104" s="610">
        <v>3</v>
      </c>
      <c r="B104" s="621" t="s">
        <v>1208</v>
      </c>
      <c r="C104" s="607"/>
      <c r="D104" s="607"/>
      <c r="E104" s="607"/>
      <c r="F104" s="650"/>
      <c r="G104" s="655"/>
      <c r="H104" s="638"/>
    </row>
    <row r="105" spans="1:8" s="340" customFormat="1" ht="15.75">
      <c r="A105" s="656"/>
      <c r="B105" s="626" t="s">
        <v>1209</v>
      </c>
      <c r="C105" s="626"/>
      <c r="D105" s="657" t="s">
        <v>192</v>
      </c>
      <c r="E105" s="657" t="s">
        <v>170</v>
      </c>
      <c r="F105" s="651">
        <v>10</v>
      </c>
      <c r="G105" s="658">
        <v>16500</v>
      </c>
      <c r="H105" s="99">
        <f t="shared" ref="H105:H110" si="4">F105*G105</f>
        <v>165000</v>
      </c>
    </row>
    <row r="106" spans="1:8" s="340" customFormat="1" ht="15.75">
      <c r="A106" s="656"/>
      <c r="B106" s="626" t="s">
        <v>55</v>
      </c>
      <c r="C106" s="607"/>
      <c r="D106" s="657" t="s">
        <v>192</v>
      </c>
      <c r="E106" s="657" t="s">
        <v>204</v>
      </c>
      <c r="F106" s="651">
        <v>5</v>
      </c>
      <c r="G106" s="658">
        <v>14500</v>
      </c>
      <c r="H106" s="99">
        <f t="shared" si="4"/>
        <v>72500</v>
      </c>
    </row>
    <row r="107" spans="1:8" s="340" customFormat="1" ht="15.75">
      <c r="A107" s="656"/>
      <c r="B107" s="626" t="s">
        <v>1210</v>
      </c>
      <c r="C107" s="607"/>
      <c r="D107" s="657" t="s">
        <v>192</v>
      </c>
      <c r="E107" s="657" t="s">
        <v>412</v>
      </c>
      <c r="F107" s="651">
        <v>10</v>
      </c>
      <c r="G107" s="658">
        <v>18000</v>
      </c>
      <c r="H107" s="99">
        <f t="shared" si="4"/>
        <v>180000</v>
      </c>
    </row>
    <row r="108" spans="1:8" s="340" customFormat="1" ht="15.75">
      <c r="A108" s="656"/>
      <c r="B108" s="622" t="s">
        <v>61</v>
      </c>
      <c r="C108" s="607"/>
      <c r="D108" s="657" t="s">
        <v>1211</v>
      </c>
      <c r="E108" s="657" t="s">
        <v>44</v>
      </c>
      <c r="F108" s="651">
        <v>5</v>
      </c>
      <c r="G108" s="658">
        <v>65000</v>
      </c>
      <c r="H108" s="99">
        <f t="shared" si="4"/>
        <v>325000</v>
      </c>
    </row>
    <row r="109" spans="1:8" s="340" customFormat="1" ht="15.75">
      <c r="A109" s="656"/>
      <c r="B109" s="622" t="s">
        <v>1024</v>
      </c>
      <c r="C109" s="607" t="s">
        <v>285</v>
      </c>
      <c r="D109" s="657" t="s">
        <v>39</v>
      </c>
      <c r="E109" s="657" t="s">
        <v>446</v>
      </c>
      <c r="F109" s="651">
        <v>10</v>
      </c>
      <c r="G109" s="658">
        <v>21000</v>
      </c>
      <c r="H109" s="99">
        <f t="shared" si="4"/>
        <v>210000</v>
      </c>
    </row>
    <row r="110" spans="1:8" s="340" customFormat="1" ht="15.75">
      <c r="A110" s="656"/>
      <c r="B110" s="622" t="s">
        <v>1212</v>
      </c>
      <c r="C110" s="607" t="s">
        <v>285</v>
      </c>
      <c r="D110" s="657" t="s">
        <v>39</v>
      </c>
      <c r="E110" s="657" t="s">
        <v>446</v>
      </c>
      <c r="F110" s="651">
        <v>10</v>
      </c>
      <c r="G110" s="658">
        <v>21000</v>
      </c>
      <c r="H110" s="99">
        <f t="shared" si="4"/>
        <v>210000</v>
      </c>
    </row>
    <row r="111" spans="1:8" s="340" customFormat="1" ht="15.75">
      <c r="A111" s="610">
        <v>4</v>
      </c>
      <c r="B111" s="621" t="s">
        <v>1213</v>
      </c>
      <c r="C111" s="607"/>
      <c r="D111" s="657" t="s">
        <v>39</v>
      </c>
      <c r="E111" s="607"/>
      <c r="F111" s="650"/>
      <c r="G111" s="655"/>
      <c r="H111" s="638"/>
    </row>
    <row r="112" spans="1:8" s="340" customFormat="1" ht="15.75">
      <c r="A112" s="656"/>
      <c r="B112" s="626" t="s">
        <v>1209</v>
      </c>
      <c r="C112" s="626"/>
      <c r="D112" s="657" t="s">
        <v>39</v>
      </c>
      <c r="E112" s="657" t="s">
        <v>170</v>
      </c>
      <c r="F112" s="651">
        <v>5</v>
      </c>
      <c r="G112" s="658">
        <v>16500</v>
      </c>
      <c r="H112" s="99">
        <f>F112*G112</f>
        <v>82500</v>
      </c>
    </row>
    <row r="113" spans="1:8" s="340" customFormat="1" ht="15.75">
      <c r="A113" s="656"/>
      <c r="B113" s="626" t="s">
        <v>55</v>
      </c>
      <c r="C113" s="607"/>
      <c r="D113" s="657" t="s">
        <v>39</v>
      </c>
      <c r="E113" s="657" t="s">
        <v>204</v>
      </c>
      <c r="F113" s="651">
        <v>5</v>
      </c>
      <c r="G113" s="658">
        <v>14500</v>
      </c>
      <c r="H113" s="99">
        <f>F113*G113</f>
        <v>72500</v>
      </c>
    </row>
    <row r="114" spans="1:8" s="340" customFormat="1" ht="15.75">
      <c r="A114" s="656"/>
      <c r="B114" s="626" t="s">
        <v>1210</v>
      </c>
      <c r="C114" s="607"/>
      <c r="D114" s="657" t="s">
        <v>39</v>
      </c>
      <c r="E114" s="657" t="s">
        <v>412</v>
      </c>
      <c r="F114" s="651">
        <v>7</v>
      </c>
      <c r="G114" s="658">
        <v>14500</v>
      </c>
      <c r="H114" s="99">
        <f>F114*G114</f>
        <v>101500</v>
      </c>
    </row>
    <row r="115" spans="1:8" s="340" customFormat="1" ht="15.75">
      <c r="A115" s="656"/>
      <c r="B115" s="622" t="s">
        <v>61</v>
      </c>
      <c r="C115" s="607"/>
      <c r="D115" s="657" t="s">
        <v>39</v>
      </c>
      <c r="E115" s="657" t="s">
        <v>44</v>
      </c>
      <c r="F115" s="651">
        <v>6</v>
      </c>
      <c r="G115" s="658">
        <v>98000</v>
      </c>
      <c r="H115" s="99">
        <f>F115*G115</f>
        <v>588000</v>
      </c>
    </row>
    <row r="116" spans="1:8" s="340" customFormat="1" ht="15.75">
      <c r="A116" s="656" t="s">
        <v>126</v>
      </c>
      <c r="B116" s="625" t="s">
        <v>1215</v>
      </c>
      <c r="C116" s="607"/>
      <c r="D116" s="657"/>
      <c r="E116" s="657"/>
      <c r="F116" s="651"/>
      <c r="G116" s="658"/>
      <c r="H116" s="99"/>
    </row>
    <row r="117" spans="1:8" s="340" customFormat="1" ht="31.5">
      <c r="A117" s="656">
        <v>1</v>
      </c>
      <c r="B117" s="625" t="s">
        <v>1216</v>
      </c>
      <c r="C117" s="607"/>
      <c r="D117" s="657"/>
      <c r="E117" s="657"/>
      <c r="F117" s="651"/>
      <c r="G117" s="658"/>
      <c r="H117" s="99"/>
    </row>
    <row r="118" spans="1:8" s="340" customFormat="1" ht="15.75">
      <c r="A118" s="639"/>
      <c r="B118" s="626" t="s">
        <v>1040</v>
      </c>
      <c r="C118" s="607"/>
      <c r="D118" s="657" t="s">
        <v>39</v>
      </c>
      <c r="E118" s="657" t="s">
        <v>170</v>
      </c>
      <c r="F118" s="651">
        <v>4</v>
      </c>
      <c r="G118" s="658">
        <v>140000</v>
      </c>
      <c r="H118" s="99">
        <f>F118*G118</f>
        <v>560000</v>
      </c>
    </row>
    <row r="119" spans="1:8" s="340" customFormat="1" ht="15.75">
      <c r="A119" s="639"/>
      <c r="B119" s="626" t="s">
        <v>47</v>
      </c>
      <c r="C119" s="607"/>
      <c r="D119" s="657" t="s">
        <v>39</v>
      </c>
      <c r="E119" s="657" t="s">
        <v>595</v>
      </c>
      <c r="F119" s="651">
        <v>4</v>
      </c>
      <c r="G119" s="658">
        <v>119000</v>
      </c>
      <c r="H119" s="99">
        <f>F119*G119</f>
        <v>476000</v>
      </c>
    </row>
    <row r="120" spans="1:8" s="340" customFormat="1" ht="15.75">
      <c r="A120" s="639"/>
      <c r="B120" s="626" t="s">
        <v>1217</v>
      </c>
      <c r="C120" s="607"/>
      <c r="D120" s="657" t="s">
        <v>39</v>
      </c>
      <c r="E120" s="657" t="s">
        <v>170</v>
      </c>
      <c r="F120" s="651">
        <v>10</v>
      </c>
      <c r="G120" s="658">
        <v>22000</v>
      </c>
      <c r="H120" s="99">
        <f t="shared" ref="H120:H128" si="5">F120*G120</f>
        <v>220000</v>
      </c>
    </row>
    <row r="121" spans="1:8" s="340" customFormat="1" ht="15.75">
      <c r="A121" s="639"/>
      <c r="B121" s="626" t="s">
        <v>1218</v>
      </c>
      <c r="C121" s="607" t="s">
        <v>1219</v>
      </c>
      <c r="D121" s="657" t="s">
        <v>39</v>
      </c>
      <c r="E121" s="657" t="s">
        <v>170</v>
      </c>
      <c r="F121" s="651">
        <v>40</v>
      </c>
      <c r="G121" s="658">
        <v>150000</v>
      </c>
      <c r="H121" s="99">
        <f t="shared" si="5"/>
        <v>6000000</v>
      </c>
    </row>
    <row r="122" spans="1:8" s="340" customFormat="1" ht="15.75">
      <c r="A122" s="639"/>
      <c r="B122" s="626" t="s">
        <v>1220</v>
      </c>
      <c r="C122" s="607"/>
      <c r="D122" s="657" t="s">
        <v>39</v>
      </c>
      <c r="E122" s="657" t="s">
        <v>1221</v>
      </c>
      <c r="F122" s="651">
        <v>2</v>
      </c>
      <c r="G122" s="658">
        <v>12000</v>
      </c>
      <c r="H122" s="99">
        <f t="shared" si="5"/>
        <v>24000</v>
      </c>
    </row>
    <row r="123" spans="1:8" s="340" customFormat="1" ht="15.75">
      <c r="A123" s="639"/>
      <c r="B123" s="626" t="s">
        <v>1041</v>
      </c>
      <c r="C123" s="607"/>
      <c r="D123" s="657" t="s">
        <v>39</v>
      </c>
      <c r="E123" s="657" t="s">
        <v>57</v>
      </c>
      <c r="F123" s="651">
        <v>4</v>
      </c>
      <c r="G123" s="658">
        <v>90000</v>
      </c>
      <c r="H123" s="99">
        <f t="shared" si="5"/>
        <v>360000</v>
      </c>
    </row>
    <row r="124" spans="1:8" s="340" customFormat="1" ht="15.75">
      <c r="A124" s="639"/>
      <c r="B124" s="622" t="s">
        <v>1222</v>
      </c>
      <c r="C124" s="607" t="s">
        <v>1223</v>
      </c>
      <c r="D124" s="657" t="s">
        <v>39</v>
      </c>
      <c r="E124" s="615" t="s">
        <v>32</v>
      </c>
      <c r="F124" s="614">
        <v>8</v>
      </c>
      <c r="G124" s="658">
        <v>16500</v>
      </c>
      <c r="H124" s="99">
        <f t="shared" si="5"/>
        <v>132000</v>
      </c>
    </row>
    <row r="125" spans="1:8" s="340" customFormat="1" ht="15.75">
      <c r="A125" s="639"/>
      <c r="B125" s="699" t="s">
        <v>1224</v>
      </c>
      <c r="C125" s="607" t="s">
        <v>1225</v>
      </c>
      <c r="D125" s="657" t="s">
        <v>39</v>
      </c>
      <c r="E125" s="615" t="s">
        <v>32</v>
      </c>
      <c r="F125" s="614">
        <v>20</v>
      </c>
      <c r="G125" s="658">
        <v>8500</v>
      </c>
      <c r="H125" s="99">
        <f t="shared" si="5"/>
        <v>170000</v>
      </c>
    </row>
    <row r="126" spans="1:8" s="340" customFormat="1" ht="15.75">
      <c r="A126" s="639"/>
      <c r="B126" s="699" t="s">
        <v>1226</v>
      </c>
      <c r="C126" s="607" t="s">
        <v>1047</v>
      </c>
      <c r="D126" s="657" t="s">
        <v>39</v>
      </c>
      <c r="E126" s="615" t="s">
        <v>32</v>
      </c>
      <c r="F126" s="614">
        <v>10</v>
      </c>
      <c r="G126" s="658">
        <v>6500</v>
      </c>
      <c r="H126" s="99">
        <f t="shared" si="5"/>
        <v>65000</v>
      </c>
    </row>
    <row r="127" spans="1:8" s="340" customFormat="1" ht="15.75">
      <c r="A127" s="656"/>
      <c r="B127" s="626" t="s">
        <v>1227</v>
      </c>
      <c r="C127" s="607" t="s">
        <v>206</v>
      </c>
      <c r="D127" s="657" t="s">
        <v>39</v>
      </c>
      <c r="E127" s="657" t="s">
        <v>93</v>
      </c>
      <c r="F127" s="651">
        <v>1</v>
      </c>
      <c r="G127" s="658">
        <v>650000</v>
      </c>
      <c r="H127" s="99">
        <f t="shared" si="5"/>
        <v>650000</v>
      </c>
    </row>
    <row r="128" spans="1:8" s="340" customFormat="1" ht="15.75">
      <c r="A128" s="656"/>
      <c r="B128" s="622" t="s">
        <v>1042</v>
      </c>
      <c r="C128" s="607"/>
      <c r="D128" s="657" t="s">
        <v>39</v>
      </c>
      <c r="E128" s="657" t="s">
        <v>204</v>
      </c>
      <c r="F128" s="651">
        <v>2</v>
      </c>
      <c r="G128" s="658">
        <v>50000</v>
      </c>
      <c r="H128" s="99">
        <f t="shared" si="5"/>
        <v>100000</v>
      </c>
    </row>
    <row r="129" spans="1:8" s="340" customFormat="1" ht="15.75">
      <c r="A129" s="656" t="s">
        <v>147</v>
      </c>
      <c r="B129" s="687" t="s">
        <v>522</v>
      </c>
      <c r="C129" s="607"/>
      <c r="D129" s="657"/>
      <c r="E129" s="657"/>
      <c r="F129" s="651"/>
      <c r="G129" s="658"/>
      <c r="H129" s="99"/>
    </row>
    <row r="130" spans="1:8" s="340" customFormat="1" ht="15.75">
      <c r="A130" s="656">
        <v>1</v>
      </c>
      <c r="B130" s="621" t="s">
        <v>1176</v>
      </c>
      <c r="C130" s="607"/>
      <c r="D130" s="657"/>
      <c r="E130" s="657"/>
      <c r="F130" s="651"/>
      <c r="G130" s="658"/>
      <c r="H130" s="99"/>
    </row>
    <row r="131" spans="1:8" s="340" customFormat="1" ht="31.5">
      <c r="A131" s="656"/>
      <c r="B131" s="700" t="s">
        <v>1228</v>
      </c>
      <c r="C131" s="607" t="s">
        <v>1229</v>
      </c>
      <c r="D131" s="657" t="s">
        <v>39</v>
      </c>
      <c r="E131" s="607" t="s">
        <v>111</v>
      </c>
      <c r="F131" s="651">
        <v>4</v>
      </c>
      <c r="G131" s="658">
        <v>13800000</v>
      </c>
      <c r="H131" s="99">
        <f>F131*G131</f>
        <v>55200000</v>
      </c>
    </row>
    <row r="132" spans="1:8" s="340" customFormat="1" ht="15.75">
      <c r="A132" s="656"/>
      <c r="B132" s="659" t="s">
        <v>1230</v>
      </c>
      <c r="C132" s="607"/>
      <c r="D132" s="657" t="s">
        <v>39</v>
      </c>
      <c r="E132" s="607" t="s">
        <v>111</v>
      </c>
      <c r="F132" s="651">
        <v>2</v>
      </c>
      <c r="G132" s="658">
        <v>2500000</v>
      </c>
      <c r="H132" s="99">
        <f>F132*G132</f>
        <v>5000000</v>
      </c>
    </row>
    <row r="133" spans="1:8" s="340" customFormat="1" ht="15.75">
      <c r="A133" s="656">
        <v>2</v>
      </c>
      <c r="B133" s="687" t="s">
        <v>1231</v>
      </c>
      <c r="C133" s="607"/>
      <c r="D133" s="636"/>
      <c r="E133" s="657"/>
      <c r="F133" s="651"/>
      <c r="G133" s="658"/>
      <c r="H133" s="99"/>
    </row>
    <row r="134" spans="1:8" s="340" customFormat="1" ht="31.5">
      <c r="A134" s="656"/>
      <c r="B134" s="626" t="s">
        <v>1232</v>
      </c>
      <c r="C134" s="607" t="s">
        <v>1233</v>
      </c>
      <c r="D134" s="636" t="s">
        <v>39</v>
      </c>
      <c r="E134" s="607" t="s">
        <v>111</v>
      </c>
      <c r="F134" s="651">
        <v>3</v>
      </c>
      <c r="G134" s="658">
        <v>11850000</v>
      </c>
      <c r="H134" s="99">
        <f>F134*G134</f>
        <v>35550000</v>
      </c>
    </row>
    <row r="135" spans="1:8" s="340" customFormat="1" ht="31.5">
      <c r="A135" s="656"/>
      <c r="B135" s="626" t="s">
        <v>1234</v>
      </c>
      <c r="C135" s="607" t="s">
        <v>1235</v>
      </c>
      <c r="D135" s="636" t="s">
        <v>39</v>
      </c>
      <c r="E135" s="607" t="s">
        <v>111</v>
      </c>
      <c r="F135" s="651">
        <v>5</v>
      </c>
      <c r="G135" s="658">
        <v>7500000</v>
      </c>
      <c r="H135" s="99">
        <f t="shared" ref="H135:H149" si="6">F135*G135</f>
        <v>37500000</v>
      </c>
    </row>
    <row r="136" spans="1:8" s="340" customFormat="1" ht="31.5">
      <c r="A136" s="656"/>
      <c r="B136" s="626" t="s">
        <v>1236</v>
      </c>
      <c r="C136" s="607" t="s">
        <v>1237</v>
      </c>
      <c r="D136" s="636" t="s">
        <v>39</v>
      </c>
      <c r="E136" s="607" t="s">
        <v>111</v>
      </c>
      <c r="F136" s="651">
        <v>1</v>
      </c>
      <c r="G136" s="658">
        <v>6500000</v>
      </c>
      <c r="H136" s="99">
        <f t="shared" si="6"/>
        <v>6500000</v>
      </c>
    </row>
    <row r="137" spans="1:8" s="340" customFormat="1" ht="31.5">
      <c r="A137" s="656"/>
      <c r="B137" s="626" t="s">
        <v>1238</v>
      </c>
      <c r="C137" s="607" t="s">
        <v>1239</v>
      </c>
      <c r="D137" s="636" t="s">
        <v>39</v>
      </c>
      <c r="E137" s="607" t="s">
        <v>111</v>
      </c>
      <c r="F137" s="651">
        <v>1</v>
      </c>
      <c r="G137" s="658">
        <v>9500000</v>
      </c>
      <c r="H137" s="99">
        <f t="shared" si="6"/>
        <v>9500000</v>
      </c>
    </row>
    <row r="138" spans="1:8" s="340" customFormat="1" ht="15.75">
      <c r="A138" s="656"/>
      <c r="B138" s="626" t="s">
        <v>1240</v>
      </c>
      <c r="C138" s="607" t="s">
        <v>1241</v>
      </c>
      <c r="D138" s="636" t="s">
        <v>39</v>
      </c>
      <c r="E138" s="657" t="s">
        <v>204</v>
      </c>
      <c r="F138" s="651">
        <v>10</v>
      </c>
      <c r="G138" s="658">
        <v>350000</v>
      </c>
      <c r="H138" s="99">
        <f t="shared" si="6"/>
        <v>3500000</v>
      </c>
    </row>
    <row r="139" spans="1:8" s="340" customFormat="1" ht="15.75">
      <c r="A139" s="656"/>
      <c r="B139" s="626" t="s">
        <v>1242</v>
      </c>
      <c r="C139" s="607" t="s">
        <v>1243</v>
      </c>
      <c r="D139" s="636" t="s">
        <v>39</v>
      </c>
      <c r="E139" s="657" t="s">
        <v>204</v>
      </c>
      <c r="F139" s="651">
        <v>2</v>
      </c>
      <c r="G139" s="658">
        <v>180000</v>
      </c>
      <c r="H139" s="99">
        <f t="shared" si="6"/>
        <v>360000</v>
      </c>
    </row>
    <row r="140" spans="1:8" s="340" customFormat="1" ht="15.75">
      <c r="A140" s="656">
        <v>3</v>
      </c>
      <c r="B140" s="687" t="s">
        <v>1189</v>
      </c>
      <c r="C140" s="607"/>
      <c r="D140" s="636"/>
      <c r="E140" s="657"/>
      <c r="F140" s="651"/>
      <c r="G140" s="658"/>
      <c r="H140" s="99">
        <f t="shared" si="6"/>
        <v>0</v>
      </c>
    </row>
    <row r="141" spans="1:8" s="340" customFormat="1" ht="31.5">
      <c r="A141" s="656"/>
      <c r="B141" s="608" t="s">
        <v>1190</v>
      </c>
      <c r="C141" s="607" t="s">
        <v>1190</v>
      </c>
      <c r="D141" s="636" t="s">
        <v>39</v>
      </c>
      <c r="E141" s="657" t="s">
        <v>32</v>
      </c>
      <c r="F141" s="651">
        <v>30</v>
      </c>
      <c r="G141" s="658">
        <v>16500</v>
      </c>
      <c r="H141" s="99">
        <f t="shared" si="6"/>
        <v>495000</v>
      </c>
    </row>
    <row r="142" spans="1:8" s="340" customFormat="1" ht="15.75">
      <c r="A142" s="656"/>
      <c r="B142" s="608" t="s">
        <v>1191</v>
      </c>
      <c r="C142" s="607" t="s">
        <v>1244</v>
      </c>
      <c r="D142" s="636" t="s">
        <v>39</v>
      </c>
      <c r="E142" s="657" t="s">
        <v>32</v>
      </c>
      <c r="F142" s="651">
        <v>25</v>
      </c>
      <c r="G142" s="658">
        <v>14000</v>
      </c>
      <c r="H142" s="99">
        <f t="shared" si="6"/>
        <v>350000</v>
      </c>
    </row>
    <row r="143" spans="1:8" s="340" customFormat="1" ht="15.75">
      <c r="A143" s="656"/>
      <c r="B143" s="608" t="s">
        <v>1192</v>
      </c>
      <c r="C143" s="607" t="s">
        <v>1245</v>
      </c>
      <c r="D143" s="636" t="s">
        <v>39</v>
      </c>
      <c r="E143" s="657" t="s">
        <v>32</v>
      </c>
      <c r="F143" s="651">
        <v>60</v>
      </c>
      <c r="G143" s="658">
        <v>16500</v>
      </c>
      <c r="H143" s="99">
        <f t="shared" si="6"/>
        <v>990000</v>
      </c>
    </row>
    <row r="144" spans="1:8" s="340" customFormat="1" ht="15.75">
      <c r="A144" s="656"/>
      <c r="B144" s="608" t="s">
        <v>1193</v>
      </c>
      <c r="C144" s="607" t="s">
        <v>1246</v>
      </c>
      <c r="D144" s="636" t="s">
        <v>39</v>
      </c>
      <c r="E144" s="657" t="s">
        <v>32</v>
      </c>
      <c r="F144" s="651">
        <v>60</v>
      </c>
      <c r="G144" s="658">
        <v>16500</v>
      </c>
      <c r="H144" s="99">
        <f t="shared" si="6"/>
        <v>990000</v>
      </c>
    </row>
    <row r="145" spans="1:8" s="340" customFormat="1" ht="15.75">
      <c r="A145" s="656"/>
      <c r="B145" s="608" t="s">
        <v>1194</v>
      </c>
      <c r="C145" s="607" t="s">
        <v>1247</v>
      </c>
      <c r="D145" s="636" t="s">
        <v>39</v>
      </c>
      <c r="E145" s="657" t="s">
        <v>32</v>
      </c>
      <c r="F145" s="651">
        <v>70</v>
      </c>
      <c r="G145" s="658">
        <v>20500</v>
      </c>
      <c r="H145" s="99">
        <f t="shared" si="6"/>
        <v>1435000</v>
      </c>
    </row>
    <row r="146" spans="1:8" s="340" customFormat="1" ht="15.75">
      <c r="A146" s="656"/>
      <c r="B146" s="608" t="s">
        <v>1195</v>
      </c>
      <c r="C146" s="607" t="s">
        <v>1248</v>
      </c>
      <c r="D146" s="636" t="s">
        <v>39</v>
      </c>
      <c r="E146" s="657" t="s">
        <v>32</v>
      </c>
      <c r="F146" s="651">
        <v>36</v>
      </c>
      <c r="G146" s="658">
        <v>32000</v>
      </c>
      <c r="H146" s="99">
        <f t="shared" si="6"/>
        <v>1152000</v>
      </c>
    </row>
    <row r="147" spans="1:8" s="340" customFormat="1" ht="15.75">
      <c r="A147" s="656"/>
      <c r="B147" s="608" t="s">
        <v>1196</v>
      </c>
      <c r="C147" s="607" t="s">
        <v>1249</v>
      </c>
      <c r="D147" s="636" t="s">
        <v>39</v>
      </c>
      <c r="E147" s="657" t="s">
        <v>32</v>
      </c>
      <c r="F147" s="651">
        <v>48</v>
      </c>
      <c r="G147" s="658">
        <v>80000</v>
      </c>
      <c r="H147" s="99">
        <f t="shared" si="6"/>
        <v>3840000</v>
      </c>
    </row>
    <row r="148" spans="1:8" s="340" customFormat="1" ht="31.5">
      <c r="A148" s="656"/>
      <c r="B148" s="608" t="s">
        <v>1197</v>
      </c>
      <c r="C148" s="607" t="s">
        <v>1250</v>
      </c>
      <c r="D148" s="636" t="s">
        <v>39</v>
      </c>
      <c r="E148" s="657" t="s">
        <v>32</v>
      </c>
      <c r="F148" s="651">
        <v>24</v>
      </c>
      <c r="G148" s="658">
        <v>60000</v>
      </c>
      <c r="H148" s="99">
        <f t="shared" si="6"/>
        <v>1440000</v>
      </c>
    </row>
    <row r="149" spans="1:8" s="340" customFormat="1" ht="15.75">
      <c r="A149" s="656"/>
      <c r="B149" s="608" t="s">
        <v>1198</v>
      </c>
      <c r="C149" s="607" t="s">
        <v>1251</v>
      </c>
      <c r="D149" s="636" t="s">
        <v>39</v>
      </c>
      <c r="E149" s="607" t="s">
        <v>111</v>
      </c>
      <c r="F149" s="651">
        <v>24</v>
      </c>
      <c r="G149" s="658">
        <v>10000</v>
      </c>
      <c r="H149" s="99">
        <f t="shared" si="6"/>
        <v>240000</v>
      </c>
    </row>
    <row r="150" spans="1:8" s="340" customFormat="1" ht="15.75">
      <c r="A150" s="656"/>
      <c r="B150" s="610" t="s">
        <v>1252</v>
      </c>
      <c r="C150" s="607"/>
      <c r="D150" s="636"/>
      <c r="E150" s="657"/>
      <c r="F150" s="651"/>
      <c r="G150" s="658"/>
      <c r="H150" s="99"/>
    </row>
    <row r="151" spans="1:8" s="340" customFormat="1" ht="15.75">
      <c r="A151" s="610" t="s">
        <v>302</v>
      </c>
      <c r="B151" s="611" t="s">
        <v>1253</v>
      </c>
      <c r="C151" s="601"/>
      <c r="D151" s="601"/>
      <c r="E151" s="630"/>
      <c r="F151" s="632"/>
      <c r="G151" s="99"/>
      <c r="H151" s="602">
        <f>H152+H177</f>
        <v>140893600</v>
      </c>
    </row>
    <row r="152" spans="1:8" s="340" customFormat="1" ht="31.5">
      <c r="A152" s="610" t="s">
        <v>1254</v>
      </c>
      <c r="B152" s="611" t="s">
        <v>1906</v>
      </c>
      <c r="C152" s="601"/>
      <c r="D152" s="601"/>
      <c r="E152" s="630"/>
      <c r="F152" s="631"/>
      <c r="G152" s="99"/>
      <c r="H152" s="602">
        <f>SUM(H153:H176)</f>
        <v>48683600</v>
      </c>
    </row>
    <row r="153" spans="1:8" s="340" customFormat="1" ht="15.75">
      <c r="A153" s="610">
        <v>1</v>
      </c>
      <c r="B153" s="611" t="s">
        <v>1255</v>
      </c>
      <c r="C153" s="601"/>
      <c r="D153" s="601"/>
      <c r="E153" s="630" t="s">
        <v>134</v>
      </c>
      <c r="F153" s="631">
        <v>1</v>
      </c>
      <c r="G153" s="99">
        <v>2050300</v>
      </c>
      <c r="H153" s="99">
        <f t="shared" ref="H153:H163" si="7">F153*G153</f>
        <v>2050300</v>
      </c>
    </row>
    <row r="154" spans="1:8" s="340" customFormat="1" ht="15.75">
      <c r="A154" s="607" t="s">
        <v>8</v>
      </c>
      <c r="B154" s="608" t="s">
        <v>1256</v>
      </c>
      <c r="C154" s="601"/>
      <c r="D154" s="601"/>
      <c r="E154" s="630"/>
      <c r="F154" s="631"/>
      <c r="G154" s="99">
        <v>0</v>
      </c>
      <c r="H154" s="99">
        <f t="shared" si="7"/>
        <v>0</v>
      </c>
    </row>
    <row r="155" spans="1:8" s="340" customFormat="1" ht="15.75">
      <c r="A155" s="607" t="s">
        <v>987</v>
      </c>
      <c r="B155" s="608" t="s">
        <v>1257</v>
      </c>
      <c r="C155" s="601"/>
      <c r="D155" s="601"/>
      <c r="E155" s="630"/>
      <c r="F155" s="631"/>
      <c r="G155" s="99">
        <v>0</v>
      </c>
      <c r="H155" s="99">
        <f t="shared" si="7"/>
        <v>0</v>
      </c>
    </row>
    <row r="156" spans="1:8" s="340" customFormat="1" ht="31.5">
      <c r="A156" s="607" t="s">
        <v>1258</v>
      </c>
      <c r="B156" s="608" t="s">
        <v>1259</v>
      </c>
      <c r="C156" s="601"/>
      <c r="D156" s="601"/>
      <c r="E156" s="630" t="s">
        <v>63</v>
      </c>
      <c r="F156" s="609">
        <v>15</v>
      </c>
      <c r="G156" s="99">
        <v>139500</v>
      </c>
      <c r="H156" s="99">
        <f t="shared" si="7"/>
        <v>2092500</v>
      </c>
    </row>
    <row r="157" spans="1:8" s="340" customFormat="1" ht="15.75">
      <c r="A157" s="610">
        <v>2</v>
      </c>
      <c r="B157" s="611" t="s">
        <v>1260</v>
      </c>
      <c r="C157" s="601"/>
      <c r="D157" s="601"/>
      <c r="E157" s="630"/>
      <c r="F157" s="631"/>
      <c r="G157" s="99">
        <v>0</v>
      </c>
      <c r="H157" s="99">
        <f t="shared" si="7"/>
        <v>0</v>
      </c>
    </row>
    <row r="158" spans="1:8" s="340" customFormat="1" ht="31.5">
      <c r="A158" s="610" t="s">
        <v>51</v>
      </c>
      <c r="B158" s="688" t="s">
        <v>1261</v>
      </c>
      <c r="C158" s="601"/>
      <c r="D158" s="601"/>
      <c r="E158" s="607" t="s">
        <v>111</v>
      </c>
      <c r="F158" s="609">
        <v>1</v>
      </c>
      <c r="G158" s="99">
        <v>1395000</v>
      </c>
      <c r="H158" s="99">
        <f t="shared" si="7"/>
        <v>1395000</v>
      </c>
    </row>
    <row r="159" spans="1:8" s="340" customFormat="1" ht="15.75">
      <c r="A159" s="610" t="s">
        <v>1262</v>
      </c>
      <c r="B159" s="688" t="s">
        <v>1263</v>
      </c>
      <c r="C159" s="635" t="s">
        <v>1264</v>
      </c>
      <c r="D159" s="601"/>
      <c r="E159" s="607" t="s">
        <v>111</v>
      </c>
      <c r="F159" s="609">
        <v>1</v>
      </c>
      <c r="G159" s="99">
        <v>300000</v>
      </c>
      <c r="H159" s="99">
        <f t="shared" si="7"/>
        <v>300000</v>
      </c>
    </row>
    <row r="160" spans="1:8" s="340" customFormat="1" ht="15.75">
      <c r="A160" s="610" t="s">
        <v>1265</v>
      </c>
      <c r="B160" s="608" t="s">
        <v>1266</v>
      </c>
      <c r="C160" s="635" t="s">
        <v>1267</v>
      </c>
      <c r="D160" s="601"/>
      <c r="E160" s="607" t="s">
        <v>111</v>
      </c>
      <c r="F160" s="609">
        <v>1</v>
      </c>
      <c r="G160" s="99">
        <v>4100600</v>
      </c>
      <c r="H160" s="99">
        <f t="shared" si="7"/>
        <v>4100600</v>
      </c>
    </row>
    <row r="161" spans="1:8" s="340" customFormat="1" ht="31.5">
      <c r="A161" s="610">
        <v>3</v>
      </c>
      <c r="B161" s="660" t="s">
        <v>1268</v>
      </c>
      <c r="C161" s="601"/>
      <c r="D161" s="601"/>
      <c r="E161" s="630" t="s">
        <v>146</v>
      </c>
      <c r="F161" s="609">
        <v>1</v>
      </c>
      <c r="G161" s="99">
        <v>697500</v>
      </c>
      <c r="H161" s="99">
        <f t="shared" si="7"/>
        <v>697500</v>
      </c>
    </row>
    <row r="162" spans="1:8" s="340" customFormat="1" ht="47.25">
      <c r="A162" s="610"/>
      <c r="B162" s="661" t="s">
        <v>1269</v>
      </c>
      <c r="C162" s="601"/>
      <c r="D162" s="601"/>
      <c r="E162" s="630" t="s">
        <v>146</v>
      </c>
      <c r="F162" s="609">
        <v>1</v>
      </c>
      <c r="G162" s="99">
        <v>1200000</v>
      </c>
      <c r="H162" s="99">
        <f t="shared" si="7"/>
        <v>1200000</v>
      </c>
    </row>
    <row r="163" spans="1:8" s="340" customFormat="1" ht="15.75">
      <c r="A163" s="610">
        <v>4</v>
      </c>
      <c r="B163" s="611" t="s">
        <v>1270</v>
      </c>
      <c r="C163" s="601"/>
      <c r="D163" s="601"/>
      <c r="E163" s="630" t="s">
        <v>1271</v>
      </c>
      <c r="F163" s="609">
        <v>12.4</v>
      </c>
      <c r="G163" s="99">
        <v>380500</v>
      </c>
      <c r="H163" s="99">
        <f t="shared" si="7"/>
        <v>4718200</v>
      </c>
    </row>
    <row r="164" spans="1:8" s="340" customFormat="1" ht="31.5">
      <c r="A164" s="607" t="s">
        <v>21</v>
      </c>
      <c r="B164" s="659" t="s">
        <v>1272</v>
      </c>
      <c r="C164" s="601"/>
      <c r="D164" s="601"/>
      <c r="E164" s="601"/>
      <c r="F164" s="662"/>
      <c r="G164" s="99"/>
      <c r="H164" s="602"/>
    </row>
    <row r="165" spans="1:8" s="340" customFormat="1" ht="31.5">
      <c r="A165" s="607" t="s">
        <v>500</v>
      </c>
      <c r="B165" s="659" t="s">
        <v>1273</v>
      </c>
      <c r="C165" s="601"/>
      <c r="D165" s="601"/>
      <c r="E165" s="601"/>
      <c r="F165" s="662"/>
      <c r="G165" s="99"/>
      <c r="H165" s="602"/>
    </row>
    <row r="166" spans="1:8" s="340" customFormat="1" ht="31.5">
      <c r="A166" s="607" t="s">
        <v>505</v>
      </c>
      <c r="B166" s="622" t="s">
        <v>1274</v>
      </c>
      <c r="C166" s="601"/>
      <c r="D166" s="601"/>
      <c r="E166" s="601"/>
      <c r="F166" s="662"/>
      <c r="G166" s="99"/>
      <c r="H166" s="602"/>
    </row>
    <row r="167" spans="1:8" s="340" customFormat="1" ht="31.5">
      <c r="A167" s="607" t="s">
        <v>1275</v>
      </c>
      <c r="B167" s="622" t="s">
        <v>1276</v>
      </c>
      <c r="C167" s="601"/>
      <c r="D167" s="601"/>
      <c r="E167" s="601"/>
      <c r="F167" s="662"/>
      <c r="G167" s="99"/>
      <c r="H167" s="602"/>
    </row>
    <row r="168" spans="1:8" s="340" customFormat="1" ht="31.5">
      <c r="A168" s="607" t="s">
        <v>1277</v>
      </c>
      <c r="B168" s="622" t="s">
        <v>1278</v>
      </c>
      <c r="C168" s="601"/>
      <c r="D168" s="601"/>
      <c r="E168" s="607" t="s">
        <v>111</v>
      </c>
      <c r="F168" s="663">
        <v>3</v>
      </c>
      <c r="G168" s="99">
        <v>150000</v>
      </c>
      <c r="H168" s="99">
        <f>F168*G168</f>
        <v>450000</v>
      </c>
    </row>
    <row r="169" spans="1:8" s="340" customFormat="1" ht="15.75">
      <c r="A169" s="610">
        <v>5</v>
      </c>
      <c r="B169" s="687" t="s">
        <v>1279</v>
      </c>
      <c r="C169" s="607"/>
      <c r="D169" s="607"/>
      <c r="E169" s="639"/>
      <c r="F169" s="630"/>
      <c r="G169" s="692"/>
      <c r="H169" s="641"/>
    </row>
    <row r="170" spans="1:8" s="340" customFormat="1" ht="66">
      <c r="A170" s="610"/>
      <c r="B170" s="701" t="s">
        <v>1280</v>
      </c>
      <c r="C170" s="607"/>
      <c r="D170" s="607"/>
      <c r="E170" s="639"/>
      <c r="F170" s="651"/>
      <c r="G170" s="692"/>
      <c r="H170" s="641"/>
    </row>
    <row r="171" spans="1:8" s="340" customFormat="1" ht="16.5">
      <c r="A171" s="607" t="s">
        <v>24</v>
      </c>
      <c r="B171" s="702" t="s">
        <v>1281</v>
      </c>
      <c r="C171" s="607"/>
      <c r="D171" s="607"/>
      <c r="E171" s="607" t="s">
        <v>111</v>
      </c>
      <c r="F171" s="651">
        <v>1</v>
      </c>
      <c r="G171" s="99">
        <v>6831900</v>
      </c>
      <c r="H171" s="641">
        <f>F171*G171</f>
        <v>6831900</v>
      </c>
    </row>
    <row r="172" spans="1:8" s="340" customFormat="1" ht="16.5">
      <c r="A172" s="607" t="s">
        <v>27</v>
      </c>
      <c r="B172" s="702" t="s">
        <v>1282</v>
      </c>
      <c r="C172" s="607"/>
      <c r="D172" s="607"/>
      <c r="E172" s="607" t="s">
        <v>111</v>
      </c>
      <c r="F172" s="651">
        <v>2</v>
      </c>
      <c r="G172" s="99">
        <v>6831900</v>
      </c>
      <c r="H172" s="641">
        <f t="shared" ref="H172:H173" si="8">F172*G172</f>
        <v>13663800</v>
      </c>
    </row>
    <row r="173" spans="1:8" s="340" customFormat="1" ht="16.5">
      <c r="A173" s="607" t="s">
        <v>1283</v>
      </c>
      <c r="B173" s="702" t="s">
        <v>1284</v>
      </c>
      <c r="C173" s="607"/>
      <c r="D173" s="607"/>
      <c r="E173" s="607" t="s">
        <v>111</v>
      </c>
      <c r="F173" s="651">
        <v>2</v>
      </c>
      <c r="G173" s="99">
        <v>4940000</v>
      </c>
      <c r="H173" s="641">
        <f t="shared" si="8"/>
        <v>9880000</v>
      </c>
    </row>
    <row r="174" spans="1:8" s="340" customFormat="1" ht="16.5">
      <c r="A174" s="610">
        <v>6</v>
      </c>
      <c r="B174" s="664" t="s">
        <v>1285</v>
      </c>
      <c r="C174" s="607"/>
      <c r="D174" s="607"/>
      <c r="E174" s="639"/>
      <c r="F174" s="651"/>
      <c r="G174" s="99"/>
      <c r="H174" s="641"/>
    </row>
    <row r="175" spans="1:8" s="340" customFormat="1" ht="33">
      <c r="A175" s="607" t="s">
        <v>30</v>
      </c>
      <c r="B175" s="703" t="s">
        <v>1286</v>
      </c>
      <c r="C175" s="704" t="s">
        <v>1287</v>
      </c>
      <c r="D175" s="636"/>
      <c r="E175" s="607" t="s">
        <v>111</v>
      </c>
      <c r="F175" s="614">
        <v>2</v>
      </c>
      <c r="G175" s="658">
        <v>348500</v>
      </c>
      <c r="H175" s="99">
        <f>F175*G175</f>
        <v>697000</v>
      </c>
    </row>
    <row r="176" spans="1:8" s="340" customFormat="1" ht="16.5">
      <c r="A176" s="607" t="s">
        <v>33</v>
      </c>
      <c r="B176" s="703" t="s">
        <v>1288</v>
      </c>
      <c r="C176" s="705" t="s">
        <v>1289</v>
      </c>
      <c r="D176" s="636"/>
      <c r="E176" s="607" t="s">
        <v>111</v>
      </c>
      <c r="F176" s="614">
        <v>2</v>
      </c>
      <c r="G176" s="658">
        <v>303400</v>
      </c>
      <c r="H176" s="99">
        <f>F176*G176</f>
        <v>606800</v>
      </c>
    </row>
    <row r="177" spans="1:8" s="340" customFormat="1" ht="31.5">
      <c r="A177" s="656" t="s">
        <v>1290</v>
      </c>
      <c r="B177" s="611" t="s">
        <v>1291</v>
      </c>
      <c r="C177" s="607"/>
      <c r="D177" s="636"/>
      <c r="E177" s="657"/>
      <c r="F177" s="651"/>
      <c r="G177" s="658"/>
      <c r="H177" s="602">
        <f>SUM(H179:H210)</f>
        <v>92210000</v>
      </c>
    </row>
    <row r="178" spans="1:8" s="340" customFormat="1" ht="15.75">
      <c r="A178" s="610">
        <v>1</v>
      </c>
      <c r="B178" s="611" t="s">
        <v>1292</v>
      </c>
      <c r="C178" s="607"/>
      <c r="D178" s="636"/>
      <c r="E178" s="657"/>
      <c r="F178" s="651"/>
      <c r="G178" s="658"/>
      <c r="H178" s="99"/>
    </row>
    <row r="179" spans="1:8" s="340" customFormat="1" ht="63">
      <c r="A179" s="610"/>
      <c r="B179" s="626" t="s">
        <v>1293</v>
      </c>
      <c r="C179" s="607" t="s">
        <v>1294</v>
      </c>
      <c r="D179" s="636" t="s">
        <v>1295</v>
      </c>
      <c r="E179" s="607" t="s">
        <v>146</v>
      </c>
      <c r="F179" s="665">
        <v>1</v>
      </c>
      <c r="G179" s="666">
        <v>35200000</v>
      </c>
      <c r="H179" s="667">
        <f>F179*G179</f>
        <v>35200000</v>
      </c>
    </row>
    <row r="180" spans="1:8" s="340" customFormat="1" ht="15.75">
      <c r="A180" s="610">
        <v>2</v>
      </c>
      <c r="B180" s="611" t="s">
        <v>1260</v>
      </c>
      <c r="C180" s="607"/>
      <c r="D180" s="636"/>
      <c r="E180" s="657"/>
      <c r="F180" s="651"/>
      <c r="G180" s="658"/>
      <c r="H180" s="99"/>
    </row>
    <row r="181" spans="1:8" s="340" customFormat="1" ht="31.5">
      <c r="A181" s="607" t="s">
        <v>51</v>
      </c>
      <c r="B181" s="608" t="s">
        <v>1296</v>
      </c>
      <c r="C181" s="607" t="s">
        <v>1297</v>
      </c>
      <c r="D181" s="636" t="s">
        <v>39</v>
      </c>
      <c r="E181" s="657" t="s">
        <v>146</v>
      </c>
      <c r="F181" s="651">
        <v>1</v>
      </c>
      <c r="G181" s="658">
        <v>15500000</v>
      </c>
      <c r="H181" s="99">
        <f>F181*G181</f>
        <v>15500000</v>
      </c>
    </row>
    <row r="182" spans="1:8" s="340" customFormat="1" ht="15.75">
      <c r="A182" s="607" t="s">
        <v>1262</v>
      </c>
      <c r="B182" s="608" t="s">
        <v>1298</v>
      </c>
      <c r="C182" s="607"/>
      <c r="D182" s="636" t="s">
        <v>39</v>
      </c>
      <c r="E182" s="657"/>
      <c r="F182" s="651"/>
      <c r="G182" s="658"/>
      <c r="H182" s="99"/>
    </row>
    <row r="183" spans="1:8" s="340" customFormat="1" ht="15.75">
      <c r="A183" s="607" t="s">
        <v>1265</v>
      </c>
      <c r="B183" s="608" t="s">
        <v>1299</v>
      </c>
      <c r="C183" s="607" t="s">
        <v>1264</v>
      </c>
      <c r="D183" s="636"/>
      <c r="E183" s="607" t="s">
        <v>111</v>
      </c>
      <c r="F183" s="651">
        <v>1</v>
      </c>
      <c r="G183" s="658">
        <v>1550000</v>
      </c>
      <c r="H183" s="99">
        <f t="shared" ref="H183:H190" si="9">F183*G183</f>
        <v>1550000</v>
      </c>
    </row>
    <row r="184" spans="1:8" s="340" customFormat="1" ht="15.75">
      <c r="A184" s="610"/>
      <c r="B184" s="706" t="s">
        <v>1217</v>
      </c>
      <c r="C184" s="607"/>
      <c r="D184" s="636" t="s">
        <v>39</v>
      </c>
      <c r="E184" s="657" t="s">
        <v>170</v>
      </c>
      <c r="F184" s="651">
        <v>1</v>
      </c>
      <c r="G184" s="658">
        <v>22500</v>
      </c>
      <c r="H184" s="99">
        <f t="shared" si="9"/>
        <v>22500</v>
      </c>
    </row>
    <row r="185" spans="1:8" s="340" customFormat="1" ht="15.75">
      <c r="A185" s="610"/>
      <c r="B185" s="622" t="s">
        <v>1220</v>
      </c>
      <c r="C185" s="607"/>
      <c r="D185" s="636" t="s">
        <v>39</v>
      </c>
      <c r="E185" s="657" t="s">
        <v>170</v>
      </c>
      <c r="F185" s="651">
        <v>1</v>
      </c>
      <c r="G185" s="658">
        <v>12000</v>
      </c>
      <c r="H185" s="99">
        <f t="shared" si="9"/>
        <v>12000</v>
      </c>
    </row>
    <row r="186" spans="1:8" s="340" customFormat="1" ht="15.75">
      <c r="A186" s="610"/>
      <c r="B186" s="661" t="s">
        <v>1300</v>
      </c>
      <c r="C186" s="607"/>
      <c r="D186" s="636" t="s">
        <v>39</v>
      </c>
      <c r="E186" s="657" t="s">
        <v>204</v>
      </c>
      <c r="F186" s="651">
        <v>1</v>
      </c>
      <c r="G186" s="658">
        <v>14500</v>
      </c>
      <c r="H186" s="99">
        <f t="shared" si="9"/>
        <v>14500</v>
      </c>
    </row>
    <row r="187" spans="1:8" s="340" customFormat="1" ht="15.75">
      <c r="A187" s="610">
        <v>3</v>
      </c>
      <c r="B187" s="660" t="s">
        <v>1301</v>
      </c>
      <c r="C187" s="607"/>
      <c r="D187" s="636"/>
      <c r="E187" s="657"/>
      <c r="F187" s="651"/>
      <c r="G187" s="658"/>
      <c r="H187" s="99">
        <f t="shared" si="9"/>
        <v>0</v>
      </c>
    </row>
    <row r="188" spans="1:8" s="340" customFormat="1" ht="15.75">
      <c r="A188" s="610"/>
      <c r="B188" s="706" t="s">
        <v>1217</v>
      </c>
      <c r="C188" s="607"/>
      <c r="D188" s="636" t="s">
        <v>39</v>
      </c>
      <c r="E188" s="657" t="s">
        <v>170</v>
      </c>
      <c r="F188" s="651">
        <v>1</v>
      </c>
      <c r="G188" s="658">
        <v>22500</v>
      </c>
      <c r="H188" s="99">
        <f t="shared" si="9"/>
        <v>22500</v>
      </c>
    </row>
    <row r="189" spans="1:8" s="340" customFormat="1" ht="15.75">
      <c r="A189" s="610"/>
      <c r="B189" s="622" t="s">
        <v>1220</v>
      </c>
      <c r="C189" s="607"/>
      <c r="D189" s="636" t="s">
        <v>39</v>
      </c>
      <c r="E189" s="657" t="s">
        <v>170</v>
      </c>
      <c r="F189" s="651">
        <v>1</v>
      </c>
      <c r="G189" s="658">
        <v>12000</v>
      </c>
      <c r="H189" s="99">
        <f t="shared" si="9"/>
        <v>12000</v>
      </c>
    </row>
    <row r="190" spans="1:8" s="340" customFormat="1" ht="15.75">
      <c r="A190" s="610"/>
      <c r="B190" s="661" t="s">
        <v>1300</v>
      </c>
      <c r="C190" s="607"/>
      <c r="D190" s="636" t="s">
        <v>39</v>
      </c>
      <c r="E190" s="657" t="s">
        <v>204</v>
      </c>
      <c r="F190" s="651">
        <v>1</v>
      </c>
      <c r="G190" s="658">
        <v>14500</v>
      </c>
      <c r="H190" s="99">
        <f t="shared" si="9"/>
        <v>14500</v>
      </c>
    </row>
    <row r="191" spans="1:8" s="340" customFormat="1" ht="15.75">
      <c r="A191" s="610">
        <v>4</v>
      </c>
      <c r="B191" s="611" t="s">
        <v>1270</v>
      </c>
      <c r="C191" s="607"/>
      <c r="D191" s="636"/>
      <c r="E191" s="657"/>
      <c r="F191" s="651"/>
      <c r="G191" s="658"/>
      <c r="H191" s="99"/>
    </row>
    <row r="192" spans="1:8" s="340" customFormat="1" ht="15.75">
      <c r="A192" s="610"/>
      <c r="B192" s="622" t="s">
        <v>1302</v>
      </c>
      <c r="C192" s="607" t="s">
        <v>1303</v>
      </c>
      <c r="D192" s="636" t="s">
        <v>39</v>
      </c>
      <c r="E192" s="607" t="s">
        <v>204</v>
      </c>
      <c r="F192" s="614">
        <v>6</v>
      </c>
      <c r="G192" s="658">
        <v>295000</v>
      </c>
      <c r="H192" s="99">
        <f>F192*G192</f>
        <v>1770000</v>
      </c>
    </row>
    <row r="193" spans="1:8" s="340" customFormat="1" ht="15.75">
      <c r="A193" s="610"/>
      <c r="B193" s="622" t="s">
        <v>1304</v>
      </c>
      <c r="C193" s="607" t="s">
        <v>1305</v>
      </c>
      <c r="D193" s="636" t="s">
        <v>39</v>
      </c>
      <c r="E193" s="607" t="s">
        <v>204</v>
      </c>
      <c r="F193" s="614">
        <v>11</v>
      </c>
      <c r="G193" s="658">
        <v>295000</v>
      </c>
      <c r="H193" s="99">
        <f t="shared" ref="H193:H198" si="10">F193*G193</f>
        <v>3245000</v>
      </c>
    </row>
    <row r="194" spans="1:8" s="340" customFormat="1" ht="15.75">
      <c r="A194" s="610"/>
      <c r="B194" s="608" t="s">
        <v>1306</v>
      </c>
      <c r="C194" s="607" t="s">
        <v>1307</v>
      </c>
      <c r="D194" s="636" t="s">
        <v>39</v>
      </c>
      <c r="E194" s="607" t="s">
        <v>204</v>
      </c>
      <c r="F194" s="614">
        <v>2</v>
      </c>
      <c r="G194" s="658">
        <v>205000</v>
      </c>
      <c r="H194" s="99">
        <f t="shared" si="10"/>
        <v>410000</v>
      </c>
    </row>
    <row r="195" spans="1:8" s="340" customFormat="1" ht="15.75">
      <c r="A195" s="610"/>
      <c r="B195" s="608" t="s">
        <v>1308</v>
      </c>
      <c r="C195" s="607" t="s">
        <v>1309</v>
      </c>
      <c r="D195" s="636" t="s">
        <v>39</v>
      </c>
      <c r="E195" s="607" t="s">
        <v>204</v>
      </c>
      <c r="F195" s="614">
        <v>2</v>
      </c>
      <c r="G195" s="658">
        <v>435000</v>
      </c>
      <c r="H195" s="99">
        <f t="shared" si="10"/>
        <v>870000</v>
      </c>
    </row>
    <row r="196" spans="1:8" s="340" customFormat="1" ht="15.75">
      <c r="A196" s="610"/>
      <c r="B196" s="668" t="s">
        <v>445</v>
      </c>
      <c r="C196" s="607"/>
      <c r="D196" s="636" t="s">
        <v>39</v>
      </c>
      <c r="E196" s="607" t="s">
        <v>296</v>
      </c>
      <c r="F196" s="614">
        <v>2</v>
      </c>
      <c r="G196" s="658">
        <v>200000</v>
      </c>
      <c r="H196" s="99">
        <f t="shared" si="10"/>
        <v>400000</v>
      </c>
    </row>
    <row r="197" spans="1:8" s="340" customFormat="1" ht="15.75">
      <c r="A197" s="610"/>
      <c r="B197" s="608" t="s">
        <v>1310</v>
      </c>
      <c r="C197" s="607" t="s">
        <v>285</v>
      </c>
      <c r="D197" s="636" t="s">
        <v>39</v>
      </c>
      <c r="E197" s="607" t="s">
        <v>446</v>
      </c>
      <c r="F197" s="614">
        <v>2</v>
      </c>
      <c r="G197" s="658">
        <v>21000</v>
      </c>
      <c r="H197" s="99">
        <f t="shared" si="10"/>
        <v>42000</v>
      </c>
    </row>
    <row r="198" spans="1:8" s="340" customFormat="1" ht="15.75">
      <c r="A198" s="610"/>
      <c r="B198" s="608" t="s">
        <v>1311</v>
      </c>
      <c r="C198" s="607" t="s">
        <v>285</v>
      </c>
      <c r="D198" s="636" t="s">
        <v>39</v>
      </c>
      <c r="E198" s="607" t="s">
        <v>111</v>
      </c>
      <c r="F198" s="614">
        <v>2</v>
      </c>
      <c r="G198" s="658">
        <v>21000</v>
      </c>
      <c r="H198" s="99">
        <f t="shared" si="10"/>
        <v>42000</v>
      </c>
    </row>
    <row r="199" spans="1:8" s="340" customFormat="1" ht="15.75">
      <c r="A199" s="610">
        <v>5</v>
      </c>
      <c r="B199" s="611" t="s">
        <v>1279</v>
      </c>
      <c r="C199" s="607"/>
      <c r="D199" s="636"/>
      <c r="E199" s="607"/>
      <c r="F199" s="614"/>
      <c r="G199" s="658"/>
      <c r="H199" s="99"/>
    </row>
    <row r="200" spans="1:8" s="340" customFormat="1" ht="15.75">
      <c r="A200" s="607"/>
      <c r="B200" s="608" t="s">
        <v>64</v>
      </c>
      <c r="C200" s="607"/>
      <c r="D200" s="636" t="s">
        <v>39</v>
      </c>
      <c r="E200" s="607" t="s">
        <v>170</v>
      </c>
      <c r="F200" s="614">
        <v>10</v>
      </c>
      <c r="G200" s="658">
        <v>18200</v>
      </c>
      <c r="H200" s="99">
        <f>F200*G200</f>
        <v>182000</v>
      </c>
    </row>
    <row r="201" spans="1:8" s="340" customFormat="1" ht="15.75">
      <c r="A201" s="610"/>
      <c r="B201" s="661" t="s">
        <v>55</v>
      </c>
      <c r="C201" s="607"/>
      <c r="D201" s="636" t="s">
        <v>39</v>
      </c>
      <c r="E201" s="657" t="s">
        <v>204</v>
      </c>
      <c r="F201" s="651">
        <v>1</v>
      </c>
      <c r="G201" s="658">
        <v>14500</v>
      </c>
      <c r="H201" s="99">
        <f t="shared" ref="H201:H206" si="11">F201*G201</f>
        <v>14500</v>
      </c>
    </row>
    <row r="202" spans="1:8" s="340" customFormat="1" ht="15.75">
      <c r="A202" s="607"/>
      <c r="B202" s="608" t="s">
        <v>1312</v>
      </c>
      <c r="C202" s="607"/>
      <c r="D202" s="636" t="s">
        <v>39</v>
      </c>
      <c r="E202" s="607" t="s">
        <v>111</v>
      </c>
      <c r="F202" s="614">
        <v>5</v>
      </c>
      <c r="G202" s="658">
        <v>2650000</v>
      </c>
      <c r="H202" s="99">
        <f t="shared" si="11"/>
        <v>13250000</v>
      </c>
    </row>
    <row r="203" spans="1:8" s="340" customFormat="1" ht="15.75">
      <c r="A203" s="607"/>
      <c r="B203" s="608" t="s">
        <v>43</v>
      </c>
      <c r="C203" s="607"/>
      <c r="D203" s="636" t="s">
        <v>39</v>
      </c>
      <c r="E203" s="607" t="s">
        <v>204</v>
      </c>
      <c r="F203" s="614">
        <v>0.2</v>
      </c>
      <c r="G203" s="658">
        <v>120000</v>
      </c>
      <c r="H203" s="99">
        <f t="shared" si="11"/>
        <v>24000</v>
      </c>
    </row>
    <row r="204" spans="1:8" s="340" customFormat="1" ht="15.75">
      <c r="A204" s="607"/>
      <c r="B204" s="608" t="s">
        <v>1313</v>
      </c>
      <c r="C204" s="607"/>
      <c r="D204" s="636" t="s">
        <v>39</v>
      </c>
      <c r="E204" s="607" t="s">
        <v>595</v>
      </c>
      <c r="F204" s="614">
        <v>2</v>
      </c>
      <c r="G204" s="658">
        <v>40100</v>
      </c>
      <c r="H204" s="99">
        <f t="shared" si="11"/>
        <v>80200</v>
      </c>
    </row>
    <row r="205" spans="1:8" s="340" customFormat="1" ht="15.75">
      <c r="A205" s="607"/>
      <c r="B205" s="608" t="s">
        <v>1314</v>
      </c>
      <c r="C205" s="607"/>
      <c r="D205" s="636" t="s">
        <v>39</v>
      </c>
      <c r="E205" s="607" t="s">
        <v>40</v>
      </c>
      <c r="F205" s="614">
        <v>5</v>
      </c>
      <c r="G205" s="658">
        <v>92800</v>
      </c>
      <c r="H205" s="99">
        <f t="shared" si="11"/>
        <v>464000</v>
      </c>
    </row>
    <row r="206" spans="1:8" s="340" customFormat="1" ht="15.75">
      <c r="A206" s="607"/>
      <c r="B206" s="608" t="s">
        <v>1315</v>
      </c>
      <c r="C206" s="607"/>
      <c r="D206" s="636" t="s">
        <v>39</v>
      </c>
      <c r="E206" s="607" t="s">
        <v>40</v>
      </c>
      <c r="F206" s="614">
        <v>5</v>
      </c>
      <c r="G206" s="658">
        <v>82700</v>
      </c>
      <c r="H206" s="99">
        <f t="shared" si="11"/>
        <v>413500</v>
      </c>
    </row>
    <row r="207" spans="1:8" s="340" customFormat="1" ht="15.75">
      <c r="A207" s="610">
        <v>6</v>
      </c>
      <c r="B207" s="611" t="s">
        <v>1316</v>
      </c>
      <c r="C207" s="607"/>
      <c r="D207" s="636" t="s">
        <v>39</v>
      </c>
      <c r="E207" s="607"/>
      <c r="F207" s="614"/>
      <c r="G207" s="658"/>
      <c r="H207" s="99"/>
    </row>
    <row r="208" spans="1:8" s="340" customFormat="1" ht="16.5">
      <c r="A208" s="607" t="s">
        <v>30</v>
      </c>
      <c r="B208" s="707" t="s">
        <v>1317</v>
      </c>
      <c r="C208" s="704" t="s">
        <v>1287</v>
      </c>
      <c r="D208" s="636"/>
      <c r="E208" s="607" t="s">
        <v>111</v>
      </c>
      <c r="F208" s="614">
        <v>2</v>
      </c>
      <c r="G208" s="658">
        <v>2928800</v>
      </c>
      <c r="H208" s="99">
        <f>F208*G208</f>
        <v>5857600</v>
      </c>
    </row>
    <row r="209" spans="1:8" s="340" customFormat="1" ht="16.5">
      <c r="A209" s="607" t="s">
        <v>33</v>
      </c>
      <c r="B209" s="708" t="s">
        <v>1318</v>
      </c>
      <c r="C209" s="705" t="s">
        <v>1289</v>
      </c>
      <c r="D209" s="636"/>
      <c r="E209" s="607" t="s">
        <v>111</v>
      </c>
      <c r="F209" s="614">
        <v>2</v>
      </c>
      <c r="G209" s="658">
        <v>6398600</v>
      </c>
      <c r="H209" s="99">
        <f>F209*G209</f>
        <v>12797200</v>
      </c>
    </row>
    <row r="210" spans="1:8" s="340" customFormat="1" ht="15.75">
      <c r="A210" s="610"/>
      <c r="B210" s="608"/>
      <c r="C210" s="607"/>
      <c r="D210" s="636"/>
      <c r="E210" s="607" t="s">
        <v>111</v>
      </c>
      <c r="F210" s="669"/>
      <c r="G210" s="658"/>
      <c r="H210" s="99"/>
    </row>
    <row r="211" spans="1:8" s="340" customFormat="1" ht="15.75">
      <c r="A211" s="610" t="s">
        <v>400</v>
      </c>
      <c r="B211" s="611" t="s">
        <v>1319</v>
      </c>
      <c r="C211" s="610"/>
      <c r="D211" s="633"/>
      <c r="E211" s="607" t="s">
        <v>111</v>
      </c>
      <c r="F211" s="670"/>
      <c r="G211" s="671"/>
      <c r="H211" s="602">
        <f>SUM(H212:H216)</f>
        <v>47269400</v>
      </c>
    </row>
    <row r="212" spans="1:8" s="340" customFormat="1" ht="15.75">
      <c r="A212" s="610"/>
      <c r="B212" s="611" t="s">
        <v>1320</v>
      </c>
      <c r="C212" s="607"/>
      <c r="D212" s="636"/>
      <c r="E212" s="607" t="s">
        <v>111</v>
      </c>
      <c r="F212" s="651"/>
      <c r="G212" s="658"/>
      <c r="H212" s="99"/>
    </row>
    <row r="213" spans="1:8" s="340" customFormat="1" ht="15.75">
      <c r="A213" s="4">
        <v>1</v>
      </c>
      <c r="B213" s="696" t="s">
        <v>1321</v>
      </c>
      <c r="C213" s="7"/>
      <c r="D213" s="672" t="s">
        <v>1057</v>
      </c>
      <c r="E213" s="7" t="s">
        <v>111</v>
      </c>
      <c r="F213" s="673">
        <v>9</v>
      </c>
      <c r="G213" s="654">
        <f>1354000*1.1</f>
        <v>1489400.0000000002</v>
      </c>
      <c r="H213" s="674">
        <f>F213*G213</f>
        <v>13404600.000000002</v>
      </c>
    </row>
    <row r="214" spans="1:8" s="340" customFormat="1" ht="15.75">
      <c r="A214" s="4">
        <v>2</v>
      </c>
      <c r="B214" s="696" t="s">
        <v>1322</v>
      </c>
      <c r="C214" s="7"/>
      <c r="D214" s="672" t="s">
        <v>1057</v>
      </c>
      <c r="E214" s="7" t="s">
        <v>111</v>
      </c>
      <c r="F214" s="673">
        <v>4</v>
      </c>
      <c r="G214" s="654">
        <f>4360000*1.1</f>
        <v>4796000</v>
      </c>
      <c r="H214" s="674">
        <f>F214*G214</f>
        <v>19184000</v>
      </c>
    </row>
    <row r="215" spans="1:8" s="340" customFormat="1" ht="15.75">
      <c r="A215" s="4">
        <v>3</v>
      </c>
      <c r="B215" s="696" t="s">
        <v>1323</v>
      </c>
      <c r="C215" s="7"/>
      <c r="D215" s="672" t="s">
        <v>1057</v>
      </c>
      <c r="E215" s="7" t="s">
        <v>111</v>
      </c>
      <c r="F215" s="673">
        <v>6</v>
      </c>
      <c r="G215" s="654">
        <f>2039000*1.2</f>
        <v>2446800</v>
      </c>
      <c r="H215" s="674">
        <f>F215*G215</f>
        <v>14680800</v>
      </c>
    </row>
    <row r="216" spans="1:8" s="340" customFormat="1" ht="15.75">
      <c r="A216" s="675"/>
      <c r="B216" s="676"/>
      <c r="C216" s="677"/>
      <c r="D216" s="675"/>
      <c r="E216" s="675"/>
      <c r="F216" s="678"/>
      <c r="G216" s="679"/>
      <c r="H216" s="679"/>
    </row>
    <row r="217" spans="1:8" ht="15.75" hidden="1">
      <c r="A217" s="680"/>
      <c r="B217" s="681" t="s">
        <v>1324</v>
      </c>
      <c r="C217" s="682"/>
      <c r="D217" s="683"/>
      <c r="E217" s="680"/>
      <c r="F217" s="684"/>
      <c r="G217" s="685"/>
      <c r="H217" s="686">
        <f>H211+H151+H61+H11</f>
        <v>525916000</v>
      </c>
    </row>
  </sheetData>
  <mergeCells count="6">
    <mergeCell ref="A7:F7"/>
    <mergeCell ref="A1:B1"/>
    <mergeCell ref="A2:B2"/>
    <mergeCell ref="A4:F4"/>
    <mergeCell ref="A5:F5"/>
    <mergeCell ref="A6:F6"/>
  </mergeCells>
  <pageMargins left="0.7" right="0.4" top="0.61" bottom="0.4"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90"/>
  <sheetViews>
    <sheetView topLeftCell="A4" workbookViewId="0">
      <selection activeCell="A7" sqref="A7:F7"/>
    </sheetView>
  </sheetViews>
  <sheetFormatPr defaultColWidth="8.85546875" defaultRowHeight="15"/>
  <cols>
    <col min="1" max="1" width="5.42578125" style="38" customWidth="1"/>
    <col min="2" max="2" width="52.140625" style="38" customWidth="1"/>
    <col min="3" max="3" width="17.28515625" style="38" customWidth="1"/>
    <col min="4" max="4" width="8.85546875" style="38" customWidth="1"/>
    <col min="5" max="5" width="8.28515625" style="38" customWidth="1"/>
    <col min="6" max="6" width="8.28515625" style="143" customWidth="1"/>
    <col min="7" max="7" width="13.7109375" style="38" hidden="1" customWidth="1"/>
    <col min="8" max="8" width="13.85546875" style="38" hidden="1" customWidth="1"/>
    <col min="9" max="9" width="10.42578125" style="38" customWidth="1"/>
    <col min="10" max="10" width="12" style="38" customWidth="1"/>
    <col min="11" max="11" width="8.85546875" style="38" customWidth="1"/>
    <col min="12" max="12" width="0.7109375" style="38" customWidth="1"/>
    <col min="13" max="16384" width="8.85546875" style="38"/>
  </cols>
  <sheetData>
    <row r="1" spans="1:16" ht="15.75">
      <c r="A1" s="851" t="s">
        <v>83</v>
      </c>
      <c r="B1" s="851"/>
      <c r="C1" s="37"/>
      <c r="D1" s="37"/>
      <c r="E1" s="37"/>
    </row>
    <row r="2" spans="1:16" ht="15.75">
      <c r="A2" s="852" t="s">
        <v>0</v>
      </c>
      <c r="B2" s="852"/>
      <c r="C2" s="37"/>
      <c r="D2" s="37"/>
      <c r="E2" s="37"/>
    </row>
    <row r="3" spans="1:16" ht="15.75">
      <c r="A3" s="37"/>
      <c r="B3" s="37"/>
      <c r="C3" s="37"/>
      <c r="D3" s="37"/>
      <c r="E3" s="37"/>
    </row>
    <row r="4" spans="1:16" ht="18" customHeight="1">
      <c r="A4" s="853" t="s">
        <v>1653</v>
      </c>
      <c r="B4" s="853"/>
      <c r="C4" s="853"/>
      <c r="D4" s="853"/>
      <c r="E4" s="853"/>
      <c r="F4" s="853"/>
    </row>
    <row r="5" spans="1:16" ht="18.75">
      <c r="A5" s="853" t="s">
        <v>84</v>
      </c>
      <c r="B5" s="853"/>
      <c r="C5" s="853"/>
      <c r="D5" s="853"/>
      <c r="E5" s="853"/>
      <c r="F5" s="853"/>
    </row>
    <row r="6" spans="1:16" ht="18.75">
      <c r="A6" s="853" t="s">
        <v>1654</v>
      </c>
      <c r="B6" s="853"/>
      <c r="C6" s="853"/>
      <c r="D6" s="853"/>
      <c r="E6" s="853"/>
      <c r="F6" s="853"/>
    </row>
    <row r="7" spans="1:16" ht="16.5">
      <c r="A7" s="844" t="s">
        <v>1926</v>
      </c>
      <c r="B7" s="844"/>
      <c r="C7" s="844"/>
      <c r="D7" s="844"/>
      <c r="E7" s="844"/>
      <c r="F7" s="844"/>
    </row>
    <row r="9" spans="1:16" ht="47.25">
      <c r="A9" s="39" t="s">
        <v>1</v>
      </c>
      <c r="B9" s="39" t="s">
        <v>2</v>
      </c>
      <c r="C9" s="39" t="s">
        <v>3</v>
      </c>
      <c r="D9" s="39" t="s">
        <v>4</v>
      </c>
      <c r="E9" s="39" t="s">
        <v>88</v>
      </c>
      <c r="F9" s="39" t="s">
        <v>5</v>
      </c>
      <c r="G9" s="40"/>
      <c r="H9" s="40"/>
      <c r="I9" s="40"/>
      <c r="J9" s="40"/>
      <c r="K9" s="40"/>
      <c r="L9" s="40"/>
      <c r="M9" s="40"/>
      <c r="N9" s="40"/>
      <c r="O9" s="40"/>
      <c r="P9" s="40"/>
    </row>
    <row r="10" spans="1:16" s="115" customFormat="1" ht="18.75">
      <c r="A10" s="504">
        <v>1</v>
      </c>
      <c r="B10" s="505" t="s">
        <v>1655</v>
      </c>
      <c r="C10" s="506"/>
      <c r="D10" s="506"/>
      <c r="E10" s="506" t="s">
        <v>13</v>
      </c>
      <c r="F10" s="507">
        <v>120</v>
      </c>
      <c r="G10" s="317">
        <v>25000</v>
      </c>
      <c r="H10" s="319">
        <f>F10*G10</f>
        <v>3000000</v>
      </c>
      <c r="I10" s="155"/>
      <c r="J10" s="155"/>
      <c r="K10" s="155"/>
      <c r="L10" s="155"/>
      <c r="M10" s="155"/>
      <c r="N10" s="155"/>
      <c r="O10" s="155"/>
      <c r="P10" s="155"/>
    </row>
    <row r="11" spans="1:16" s="113" customFormat="1" ht="18.75">
      <c r="A11" s="506" t="s">
        <v>1656</v>
      </c>
      <c r="B11" s="508" t="s">
        <v>1657</v>
      </c>
      <c r="C11" s="509"/>
      <c r="D11" s="509"/>
      <c r="E11" s="506" t="s">
        <v>1658</v>
      </c>
      <c r="F11" s="507">
        <v>1</v>
      </c>
      <c r="G11" s="316">
        <v>2000000</v>
      </c>
      <c r="H11" s="319">
        <f t="shared" ref="H11:H74" si="0">F11*G11</f>
        <v>2000000</v>
      </c>
      <c r="I11" s="148"/>
      <c r="J11" s="148"/>
      <c r="K11" s="148"/>
      <c r="L11" s="148"/>
      <c r="M11" s="148"/>
      <c r="N11" s="148"/>
      <c r="O11" s="148"/>
      <c r="P11" s="148"/>
    </row>
    <row r="12" spans="1:16" s="113" customFormat="1" ht="18.75">
      <c r="A12" s="504">
        <v>2</v>
      </c>
      <c r="B12" s="505" t="s">
        <v>1659</v>
      </c>
      <c r="C12" s="509"/>
      <c r="D12" s="509"/>
      <c r="E12" s="509"/>
      <c r="F12" s="509"/>
      <c r="G12" s="315"/>
      <c r="H12" s="319">
        <f t="shared" si="0"/>
        <v>0</v>
      </c>
      <c r="I12" s="148"/>
      <c r="J12" s="148"/>
      <c r="K12" s="148"/>
      <c r="L12" s="148"/>
      <c r="M12" s="148"/>
      <c r="N12" s="148"/>
      <c r="O12" s="148"/>
      <c r="P12" s="148"/>
    </row>
    <row r="13" spans="1:16" s="113" customFormat="1" ht="18.75">
      <c r="A13" s="506" t="s">
        <v>1656</v>
      </c>
      <c r="B13" s="510" t="s">
        <v>1660</v>
      </c>
      <c r="C13" s="509"/>
      <c r="D13" s="509"/>
      <c r="E13" s="506" t="s">
        <v>13</v>
      </c>
      <c r="F13" s="507">
        <v>20</v>
      </c>
      <c r="G13" s="315">
        <v>65000</v>
      </c>
      <c r="H13" s="319">
        <f t="shared" si="0"/>
        <v>1300000</v>
      </c>
      <c r="I13" s="148"/>
      <c r="J13" s="148"/>
      <c r="K13" s="148"/>
      <c r="L13" s="148"/>
      <c r="M13" s="148"/>
      <c r="N13" s="148"/>
      <c r="O13" s="148"/>
      <c r="P13" s="148"/>
    </row>
    <row r="14" spans="1:16" s="113" customFormat="1" ht="18.75">
      <c r="A14" s="506" t="s">
        <v>1656</v>
      </c>
      <c r="B14" s="511" t="s">
        <v>1661</v>
      </c>
      <c r="C14" s="509"/>
      <c r="D14" s="509"/>
      <c r="E14" s="506" t="s">
        <v>1128</v>
      </c>
      <c r="F14" s="507">
        <v>30</v>
      </c>
      <c r="G14" s="315">
        <v>130000</v>
      </c>
      <c r="H14" s="319">
        <f t="shared" si="0"/>
        <v>3900000</v>
      </c>
      <c r="I14" s="148"/>
      <c r="J14" s="148"/>
      <c r="K14" s="148"/>
      <c r="L14" s="148"/>
      <c r="M14" s="148"/>
      <c r="N14" s="148"/>
      <c r="O14" s="148"/>
      <c r="P14" s="148"/>
    </row>
    <row r="15" spans="1:16" s="113" customFormat="1" ht="18.75">
      <c r="A15" s="512"/>
      <c r="B15" s="513" t="s">
        <v>1201</v>
      </c>
      <c r="C15" s="512" t="s">
        <v>846</v>
      </c>
      <c r="D15" s="512" t="s">
        <v>847</v>
      </c>
      <c r="E15" s="506" t="s">
        <v>44</v>
      </c>
      <c r="F15" s="507">
        <v>0.5</v>
      </c>
      <c r="G15" s="316">
        <v>531000</v>
      </c>
      <c r="H15" s="319">
        <f t="shared" si="0"/>
        <v>265500</v>
      </c>
      <c r="I15" s="148"/>
      <c r="J15" s="148"/>
      <c r="K15" s="148"/>
      <c r="L15" s="148"/>
      <c r="M15" s="148"/>
      <c r="N15" s="148"/>
      <c r="O15" s="148"/>
      <c r="P15" s="148"/>
    </row>
    <row r="16" spans="1:16" s="113" customFormat="1" ht="31.5">
      <c r="A16" s="512"/>
      <c r="B16" s="513" t="s">
        <v>1662</v>
      </c>
      <c r="C16" s="512"/>
      <c r="D16" s="506" t="s">
        <v>39</v>
      </c>
      <c r="E16" s="506" t="s">
        <v>59</v>
      </c>
      <c r="F16" s="507">
        <v>0.5</v>
      </c>
      <c r="G16" s="316">
        <v>251000</v>
      </c>
      <c r="H16" s="319">
        <f t="shared" si="0"/>
        <v>125500</v>
      </c>
      <c r="I16" s="148"/>
      <c r="J16" s="148"/>
      <c r="K16" s="148"/>
      <c r="L16" s="148"/>
      <c r="M16" s="148"/>
      <c r="N16" s="148"/>
      <c r="O16" s="148"/>
      <c r="P16" s="148"/>
    </row>
    <row r="17" spans="1:16" s="113" customFormat="1" ht="31.5">
      <c r="A17" s="512"/>
      <c r="B17" s="513" t="s">
        <v>1024</v>
      </c>
      <c r="C17" s="512" t="s">
        <v>1663</v>
      </c>
      <c r="D17" s="506" t="s">
        <v>39</v>
      </c>
      <c r="E17" s="506" t="s">
        <v>292</v>
      </c>
      <c r="F17" s="507">
        <v>3</v>
      </c>
      <c r="G17" s="316">
        <v>26000</v>
      </c>
      <c r="H17" s="319">
        <f t="shared" si="0"/>
        <v>78000</v>
      </c>
      <c r="I17" s="148"/>
      <c r="J17" s="148"/>
      <c r="K17" s="148"/>
      <c r="L17" s="148"/>
      <c r="M17" s="148"/>
      <c r="N17" s="148"/>
      <c r="O17" s="148"/>
      <c r="P17" s="148"/>
    </row>
    <row r="18" spans="1:16" s="115" customFormat="1" ht="18.75">
      <c r="A18" s="509"/>
      <c r="B18" s="510" t="s">
        <v>1664</v>
      </c>
      <c r="C18" s="509"/>
      <c r="D18" s="506" t="s">
        <v>1665</v>
      </c>
      <c r="E18" s="506" t="s">
        <v>330</v>
      </c>
      <c r="F18" s="507">
        <v>10</v>
      </c>
      <c r="G18" s="315">
        <v>200000</v>
      </c>
      <c r="H18" s="319">
        <f t="shared" si="0"/>
        <v>2000000</v>
      </c>
      <c r="I18" s="155"/>
      <c r="J18" s="155"/>
      <c r="K18" s="155"/>
      <c r="L18" s="155"/>
      <c r="M18" s="155"/>
      <c r="N18" s="155"/>
      <c r="O18" s="155"/>
      <c r="P18" s="155"/>
    </row>
    <row r="19" spans="1:16" s="115" customFormat="1" ht="47.25">
      <c r="A19" s="504">
        <v>3</v>
      </c>
      <c r="B19" s="514" t="s">
        <v>1864</v>
      </c>
      <c r="C19" s="509"/>
      <c r="D19" s="509"/>
      <c r="E19" s="506" t="s">
        <v>1658</v>
      </c>
      <c r="F19" s="507">
        <v>1</v>
      </c>
      <c r="G19" s="316">
        <v>5500000</v>
      </c>
      <c r="H19" s="319">
        <f t="shared" si="0"/>
        <v>5500000</v>
      </c>
      <c r="I19" s="155"/>
      <c r="J19" s="155"/>
      <c r="K19" s="155"/>
      <c r="L19" s="155"/>
      <c r="M19" s="155"/>
      <c r="N19" s="155"/>
      <c r="O19" s="155"/>
      <c r="P19" s="155"/>
    </row>
    <row r="20" spans="1:16" s="115" customFormat="1" ht="18.75">
      <c r="A20" s="506" t="s">
        <v>1656</v>
      </c>
      <c r="B20" s="510" t="s">
        <v>1666</v>
      </c>
      <c r="C20" s="509"/>
      <c r="D20" s="509"/>
      <c r="E20" s="506" t="s">
        <v>1658</v>
      </c>
      <c r="F20" s="507">
        <v>1</v>
      </c>
      <c r="G20" s="316">
        <v>1500000</v>
      </c>
      <c r="H20" s="319">
        <f t="shared" si="0"/>
        <v>1500000</v>
      </c>
      <c r="I20" s="155"/>
      <c r="J20" s="155"/>
      <c r="K20" s="155"/>
      <c r="L20" s="155"/>
      <c r="M20" s="155"/>
      <c r="N20" s="155"/>
      <c r="O20" s="155"/>
      <c r="P20" s="155"/>
    </row>
    <row r="21" spans="1:16" s="115" customFormat="1" ht="18.75">
      <c r="A21" s="512"/>
      <c r="B21" s="513" t="s">
        <v>1667</v>
      </c>
      <c r="C21" s="512" t="s">
        <v>1668</v>
      </c>
      <c r="D21" s="512" t="s">
        <v>39</v>
      </c>
      <c r="E21" s="506" t="s">
        <v>40</v>
      </c>
      <c r="F21" s="507">
        <v>15</v>
      </c>
      <c r="G21" s="316">
        <v>93000</v>
      </c>
      <c r="H21" s="319">
        <f t="shared" si="0"/>
        <v>1395000</v>
      </c>
      <c r="I21" s="155"/>
      <c r="J21" s="155"/>
      <c r="K21" s="155"/>
      <c r="L21" s="155"/>
      <c r="M21" s="155"/>
      <c r="N21" s="155"/>
      <c r="O21" s="155"/>
      <c r="P21" s="155"/>
    </row>
    <row r="22" spans="1:16" s="115" customFormat="1" ht="18.75">
      <c r="A22" s="512"/>
      <c r="B22" s="513" t="s">
        <v>1669</v>
      </c>
      <c r="C22" s="512" t="s">
        <v>1670</v>
      </c>
      <c r="D22" s="512" t="s">
        <v>39</v>
      </c>
      <c r="E22" s="506" t="s">
        <v>40</v>
      </c>
      <c r="F22" s="507">
        <v>15</v>
      </c>
      <c r="G22" s="316">
        <v>315000</v>
      </c>
      <c r="H22" s="319">
        <f t="shared" si="0"/>
        <v>4725000</v>
      </c>
      <c r="I22" s="155"/>
      <c r="J22" s="155"/>
      <c r="K22" s="155"/>
      <c r="L22" s="155"/>
      <c r="M22" s="155"/>
      <c r="N22" s="155"/>
      <c r="O22" s="155"/>
      <c r="P22" s="155"/>
    </row>
    <row r="23" spans="1:16" s="115" customFormat="1" ht="47.25">
      <c r="A23" s="515">
        <v>4</v>
      </c>
      <c r="B23" s="514" t="s">
        <v>1865</v>
      </c>
      <c r="C23" s="509"/>
      <c r="D23" s="509"/>
      <c r="E23" s="506" t="s">
        <v>1658</v>
      </c>
      <c r="F23" s="507">
        <v>1</v>
      </c>
      <c r="G23" s="314">
        <v>4500000</v>
      </c>
      <c r="H23" s="319">
        <f t="shared" si="0"/>
        <v>4500000</v>
      </c>
      <c r="I23" s="155"/>
      <c r="J23" s="155"/>
      <c r="K23" s="155"/>
      <c r="L23" s="155"/>
      <c r="M23" s="155"/>
      <c r="N23" s="155"/>
      <c r="O23" s="155"/>
      <c r="P23" s="155"/>
    </row>
    <row r="24" spans="1:16" s="113" customFormat="1" ht="18.75">
      <c r="A24" s="504">
        <v>5</v>
      </c>
      <c r="B24" s="516" t="s">
        <v>1671</v>
      </c>
      <c r="C24" s="509"/>
      <c r="D24" s="509"/>
      <c r="E24" s="509"/>
      <c r="F24" s="509"/>
      <c r="G24" s="318"/>
      <c r="H24" s="319">
        <f t="shared" si="0"/>
        <v>0</v>
      </c>
      <c r="I24" s="148"/>
      <c r="J24" s="148"/>
      <c r="K24" s="148"/>
      <c r="L24" s="148"/>
      <c r="M24" s="148"/>
      <c r="N24" s="148"/>
      <c r="O24" s="148"/>
      <c r="P24" s="148"/>
    </row>
    <row r="25" spans="1:16" s="113" customFormat="1" ht="31.5">
      <c r="A25" s="506" t="s">
        <v>1656</v>
      </c>
      <c r="B25" s="510" t="s">
        <v>1672</v>
      </c>
      <c r="C25" s="509"/>
      <c r="D25" s="509"/>
      <c r="E25" s="506" t="s">
        <v>1658</v>
      </c>
      <c r="F25" s="507">
        <v>2</v>
      </c>
      <c r="G25" s="316">
        <v>1500000</v>
      </c>
      <c r="H25" s="319">
        <f t="shared" si="0"/>
        <v>3000000</v>
      </c>
      <c r="I25" s="148"/>
      <c r="J25" s="148"/>
      <c r="K25" s="148"/>
      <c r="L25" s="148"/>
      <c r="M25" s="148"/>
      <c r="N25" s="148"/>
      <c r="O25" s="148"/>
      <c r="P25" s="148"/>
    </row>
    <row r="26" spans="1:16" s="113" customFormat="1" ht="31.5">
      <c r="A26" s="506" t="s">
        <v>1656</v>
      </c>
      <c r="B26" s="510" t="s">
        <v>1673</v>
      </c>
      <c r="C26" s="509"/>
      <c r="D26" s="509"/>
      <c r="E26" s="506" t="s">
        <v>1658</v>
      </c>
      <c r="F26" s="507">
        <v>2</v>
      </c>
      <c r="G26" s="316">
        <v>1250000</v>
      </c>
      <c r="H26" s="319">
        <f t="shared" si="0"/>
        <v>2500000</v>
      </c>
      <c r="I26" s="148"/>
      <c r="J26" s="148"/>
      <c r="K26" s="148"/>
      <c r="L26" s="148"/>
      <c r="M26" s="148"/>
      <c r="N26" s="148"/>
      <c r="O26" s="148"/>
      <c r="P26" s="148"/>
    </row>
    <row r="27" spans="1:16" s="115" customFormat="1" ht="18.75">
      <c r="A27" s="506" t="s">
        <v>1656</v>
      </c>
      <c r="B27" s="510" t="s">
        <v>1674</v>
      </c>
      <c r="C27" s="509"/>
      <c r="D27" s="509"/>
      <c r="E27" s="506" t="s">
        <v>1658</v>
      </c>
      <c r="F27" s="507">
        <v>1</v>
      </c>
      <c r="G27" s="316">
        <v>2500000</v>
      </c>
      <c r="H27" s="319">
        <f t="shared" si="0"/>
        <v>2500000</v>
      </c>
      <c r="I27" s="155"/>
      <c r="J27" s="155"/>
      <c r="K27" s="155"/>
      <c r="L27" s="155"/>
      <c r="M27" s="155"/>
      <c r="N27" s="155"/>
      <c r="O27" s="155"/>
      <c r="P27" s="155"/>
    </row>
    <row r="28" spans="1:16" s="113" customFormat="1" ht="31.5">
      <c r="A28" s="515">
        <v>6</v>
      </c>
      <c r="B28" s="505" t="s">
        <v>1866</v>
      </c>
      <c r="C28" s="509"/>
      <c r="D28" s="509"/>
      <c r="E28" s="506" t="s">
        <v>1658</v>
      </c>
      <c r="F28" s="507">
        <v>2</v>
      </c>
      <c r="G28" s="316">
        <v>1000000</v>
      </c>
      <c r="H28" s="319">
        <f t="shared" si="0"/>
        <v>2000000</v>
      </c>
      <c r="I28" s="148"/>
      <c r="J28" s="148"/>
      <c r="K28" s="148"/>
      <c r="L28" s="148"/>
      <c r="M28" s="148"/>
      <c r="N28" s="148"/>
      <c r="O28" s="148"/>
      <c r="P28" s="148"/>
    </row>
    <row r="29" spans="1:16" s="124" customFormat="1" ht="18.75">
      <c r="A29" s="504">
        <v>7</v>
      </c>
      <c r="B29" s="517" t="s">
        <v>1675</v>
      </c>
      <c r="C29" s="506"/>
      <c r="D29" s="506"/>
      <c r="E29" s="506"/>
      <c r="F29" s="507"/>
      <c r="G29" s="315"/>
      <c r="H29" s="319">
        <f t="shared" si="0"/>
        <v>0</v>
      </c>
      <c r="I29" s="211"/>
      <c r="J29" s="211"/>
      <c r="K29" s="211"/>
      <c r="L29" s="211"/>
      <c r="M29" s="211"/>
      <c r="N29" s="211"/>
      <c r="O29" s="211"/>
      <c r="P29" s="211"/>
    </row>
    <row r="30" spans="1:16" s="115" customFormat="1" ht="31.5">
      <c r="A30" s="506" t="s">
        <v>139</v>
      </c>
      <c r="B30" s="513" t="s">
        <v>1676</v>
      </c>
      <c r="C30" s="506"/>
      <c r="D30" s="506"/>
      <c r="E30" s="506"/>
      <c r="F30" s="507"/>
      <c r="G30" s="315"/>
      <c r="H30" s="319">
        <f t="shared" si="0"/>
        <v>0</v>
      </c>
      <c r="I30" s="155"/>
      <c r="J30" s="155"/>
      <c r="K30" s="155"/>
      <c r="L30" s="155"/>
      <c r="M30" s="155"/>
      <c r="N30" s="155"/>
      <c r="O30" s="155"/>
      <c r="P30" s="155"/>
    </row>
    <row r="31" spans="1:16" s="115" customFormat="1" ht="31.5">
      <c r="A31" s="506" t="s">
        <v>1656</v>
      </c>
      <c r="B31" s="513" t="s">
        <v>1677</v>
      </c>
      <c r="C31" s="506"/>
      <c r="D31" s="506" t="s">
        <v>1678</v>
      </c>
      <c r="E31" s="506" t="s">
        <v>10</v>
      </c>
      <c r="F31" s="507">
        <v>1</v>
      </c>
      <c r="G31" s="315">
        <v>12500000</v>
      </c>
      <c r="H31" s="319">
        <f t="shared" si="0"/>
        <v>12500000</v>
      </c>
      <c r="I31" s="155"/>
      <c r="J31" s="155"/>
      <c r="K31" s="155"/>
      <c r="L31" s="155"/>
      <c r="M31" s="155"/>
      <c r="N31" s="155"/>
      <c r="O31" s="155"/>
      <c r="P31" s="155"/>
    </row>
    <row r="32" spans="1:16" s="115" customFormat="1" ht="31.5">
      <c r="A32" s="506" t="s">
        <v>139</v>
      </c>
      <c r="B32" s="513" t="s">
        <v>1679</v>
      </c>
      <c r="C32" s="506"/>
      <c r="D32" s="506"/>
      <c r="E32" s="506"/>
      <c r="F32" s="507"/>
      <c r="G32" s="315"/>
      <c r="H32" s="319">
        <f t="shared" si="0"/>
        <v>0</v>
      </c>
      <c r="I32" s="155"/>
      <c r="J32" s="155"/>
      <c r="K32" s="155"/>
      <c r="L32" s="155"/>
      <c r="M32" s="155"/>
      <c r="N32" s="155"/>
      <c r="O32" s="155"/>
      <c r="P32" s="155"/>
    </row>
    <row r="33" spans="1:16" s="124" customFormat="1" ht="31.5">
      <c r="A33" s="506" t="s">
        <v>1656</v>
      </c>
      <c r="B33" s="513" t="s">
        <v>1677</v>
      </c>
      <c r="C33" s="506"/>
      <c r="D33" s="506" t="s">
        <v>39</v>
      </c>
      <c r="E33" s="506" t="s">
        <v>10</v>
      </c>
      <c r="F33" s="507">
        <v>2</v>
      </c>
      <c r="G33" s="315">
        <v>11500000</v>
      </c>
      <c r="H33" s="319">
        <f t="shared" si="0"/>
        <v>23000000</v>
      </c>
      <c r="I33" s="211"/>
      <c r="J33" s="211"/>
      <c r="K33" s="211"/>
      <c r="L33" s="211"/>
      <c r="M33" s="211"/>
      <c r="N33" s="211"/>
      <c r="O33" s="211"/>
      <c r="P33" s="211"/>
    </row>
    <row r="34" spans="1:16" s="115" customFormat="1" ht="18.75">
      <c r="A34" s="504">
        <v>8</v>
      </c>
      <c r="B34" s="518" t="s">
        <v>1680</v>
      </c>
      <c r="C34" s="509"/>
      <c r="D34" s="509"/>
      <c r="E34" s="509"/>
      <c r="F34" s="509"/>
      <c r="G34" s="318"/>
      <c r="H34" s="319">
        <f t="shared" si="0"/>
        <v>0</v>
      </c>
      <c r="I34" s="155"/>
      <c r="J34" s="155"/>
      <c r="K34" s="155"/>
      <c r="L34" s="155"/>
      <c r="M34" s="155"/>
      <c r="N34" s="155"/>
      <c r="O34" s="155"/>
      <c r="P34" s="155"/>
    </row>
    <row r="35" spans="1:16" s="115" customFormat="1" ht="18.75">
      <c r="A35" s="506" t="s">
        <v>1656</v>
      </c>
      <c r="B35" s="513" t="s">
        <v>1681</v>
      </c>
      <c r="C35" s="509"/>
      <c r="D35" s="506" t="s">
        <v>1682</v>
      </c>
      <c r="E35" s="506" t="s">
        <v>10</v>
      </c>
      <c r="F35" s="507">
        <v>1</v>
      </c>
      <c r="G35" s="316">
        <v>6600000</v>
      </c>
      <c r="H35" s="319">
        <f t="shared" si="0"/>
        <v>6600000</v>
      </c>
      <c r="I35" s="155"/>
      <c r="J35" s="155"/>
      <c r="K35" s="155"/>
      <c r="L35" s="155"/>
      <c r="M35" s="155"/>
      <c r="N35" s="155"/>
      <c r="O35" s="155"/>
      <c r="P35" s="155"/>
    </row>
    <row r="36" spans="1:16" s="115" customFormat="1" ht="18.75">
      <c r="A36" s="506" t="s">
        <v>1656</v>
      </c>
      <c r="B36" s="513" t="s">
        <v>1683</v>
      </c>
      <c r="C36" s="509"/>
      <c r="D36" s="506" t="s">
        <v>1682</v>
      </c>
      <c r="E36" s="506" t="s">
        <v>10</v>
      </c>
      <c r="F36" s="507">
        <v>1</v>
      </c>
      <c r="G36" s="316">
        <v>4950000</v>
      </c>
      <c r="H36" s="319">
        <f t="shared" si="0"/>
        <v>4950000</v>
      </c>
      <c r="I36" s="155"/>
      <c r="J36" s="155"/>
      <c r="K36" s="155"/>
      <c r="L36" s="155"/>
      <c r="M36" s="155"/>
      <c r="N36" s="155"/>
      <c r="O36" s="155"/>
      <c r="P36" s="155"/>
    </row>
    <row r="37" spans="1:16" s="115" customFormat="1" ht="47.25">
      <c r="A37" s="504">
        <v>9</v>
      </c>
      <c r="B37" s="505" t="s">
        <v>1867</v>
      </c>
      <c r="C37" s="509"/>
      <c r="D37" s="509"/>
      <c r="E37" s="506" t="s">
        <v>1158</v>
      </c>
      <c r="F37" s="507">
        <v>2</v>
      </c>
      <c r="G37" s="314">
        <v>1650000</v>
      </c>
      <c r="H37" s="319">
        <f t="shared" si="0"/>
        <v>3300000</v>
      </c>
      <c r="I37" s="155"/>
      <c r="J37" s="155"/>
      <c r="K37" s="155"/>
      <c r="L37" s="155"/>
      <c r="M37" s="155"/>
      <c r="N37" s="155"/>
      <c r="O37" s="155"/>
      <c r="P37" s="155"/>
    </row>
    <row r="38" spans="1:16" s="115" customFormat="1" ht="18.75">
      <c r="A38" s="509"/>
      <c r="B38" s="508" t="s">
        <v>1684</v>
      </c>
      <c r="C38" s="506" t="s">
        <v>1481</v>
      </c>
      <c r="D38" s="509"/>
      <c r="E38" s="506" t="s">
        <v>44</v>
      </c>
      <c r="F38" s="507">
        <v>16.649999999999999</v>
      </c>
      <c r="G38" s="314">
        <v>132000</v>
      </c>
      <c r="H38" s="319">
        <f t="shared" si="0"/>
        <v>2197800</v>
      </c>
      <c r="I38" s="155"/>
      <c r="J38" s="155"/>
      <c r="K38" s="155"/>
      <c r="L38" s="155"/>
      <c r="M38" s="155"/>
      <c r="N38" s="155"/>
      <c r="O38" s="155"/>
      <c r="P38" s="155"/>
    </row>
    <row r="39" spans="1:16" s="115" customFormat="1" ht="18.75">
      <c r="A39" s="509"/>
      <c r="B39" s="519" t="s">
        <v>1685</v>
      </c>
      <c r="C39" s="509"/>
      <c r="D39" s="520" t="s">
        <v>1686</v>
      </c>
      <c r="E39" s="520" t="s">
        <v>204</v>
      </c>
      <c r="F39" s="521">
        <v>5</v>
      </c>
      <c r="G39" s="313">
        <v>66000</v>
      </c>
      <c r="H39" s="319">
        <f t="shared" si="0"/>
        <v>330000</v>
      </c>
      <c r="I39" s="155"/>
      <c r="J39" s="155"/>
      <c r="K39" s="155"/>
      <c r="L39" s="155"/>
      <c r="M39" s="155"/>
      <c r="N39" s="155"/>
      <c r="O39" s="155"/>
      <c r="P39" s="155"/>
    </row>
    <row r="40" spans="1:16" s="115" customFormat="1" ht="18.75">
      <c r="A40" s="509"/>
      <c r="B40" s="519" t="s">
        <v>1687</v>
      </c>
      <c r="C40" s="509"/>
      <c r="D40" s="520" t="s">
        <v>1686</v>
      </c>
      <c r="E40" s="520" t="s">
        <v>1688</v>
      </c>
      <c r="F40" s="521">
        <v>2.5</v>
      </c>
      <c r="G40" s="313">
        <v>100000</v>
      </c>
      <c r="H40" s="319">
        <f t="shared" si="0"/>
        <v>250000</v>
      </c>
      <c r="I40" s="155"/>
      <c r="J40" s="155"/>
      <c r="K40" s="155"/>
      <c r="L40" s="155"/>
      <c r="M40" s="155"/>
      <c r="N40" s="155"/>
      <c r="O40" s="155"/>
      <c r="P40" s="155"/>
    </row>
    <row r="41" spans="1:16" s="115" customFormat="1" ht="18.75">
      <c r="A41" s="509"/>
      <c r="B41" s="519" t="s">
        <v>1689</v>
      </c>
      <c r="C41" s="509"/>
      <c r="D41" s="520" t="s">
        <v>1686</v>
      </c>
      <c r="E41" s="520" t="s">
        <v>1690</v>
      </c>
      <c r="F41" s="521">
        <v>5</v>
      </c>
      <c r="G41" s="313">
        <v>75000</v>
      </c>
      <c r="H41" s="319">
        <f t="shared" si="0"/>
        <v>375000</v>
      </c>
      <c r="I41" s="155"/>
      <c r="J41" s="155"/>
      <c r="K41" s="155"/>
      <c r="L41" s="155"/>
      <c r="M41" s="155"/>
      <c r="N41" s="155"/>
      <c r="O41" s="155"/>
      <c r="P41" s="155"/>
    </row>
    <row r="42" spans="1:16" s="113" customFormat="1" ht="18.75">
      <c r="A42" s="509"/>
      <c r="B42" s="519" t="s">
        <v>1691</v>
      </c>
      <c r="C42" s="509"/>
      <c r="D42" s="520" t="s">
        <v>1686</v>
      </c>
      <c r="E42" s="520" t="s">
        <v>1688</v>
      </c>
      <c r="F42" s="521">
        <v>2.5</v>
      </c>
      <c r="G42" s="313">
        <v>95000</v>
      </c>
      <c r="H42" s="319">
        <f t="shared" si="0"/>
        <v>237500</v>
      </c>
      <c r="I42" s="148"/>
      <c r="J42" s="148"/>
      <c r="K42" s="148"/>
      <c r="L42" s="148"/>
      <c r="M42" s="148"/>
      <c r="N42" s="148"/>
      <c r="O42" s="148"/>
      <c r="P42" s="148"/>
    </row>
    <row r="43" spans="1:16" s="113" customFormat="1" ht="47.25">
      <c r="A43" s="504">
        <v>10</v>
      </c>
      <c r="B43" s="514" t="s">
        <v>1868</v>
      </c>
      <c r="C43" s="509"/>
      <c r="D43" s="509"/>
      <c r="E43" s="522" t="s">
        <v>1658</v>
      </c>
      <c r="F43" s="507">
        <v>1</v>
      </c>
      <c r="G43" s="314">
        <v>1500000</v>
      </c>
      <c r="H43" s="319">
        <f t="shared" si="0"/>
        <v>1500000</v>
      </c>
      <c r="I43" s="148"/>
      <c r="J43" s="148"/>
      <c r="K43" s="148"/>
      <c r="L43" s="148"/>
      <c r="M43" s="148"/>
      <c r="N43" s="148"/>
      <c r="O43" s="148"/>
      <c r="P43" s="148"/>
    </row>
    <row r="44" spans="1:16" s="113" customFormat="1" ht="18.75">
      <c r="A44" s="504">
        <v>11</v>
      </c>
      <c r="B44" s="517" t="s">
        <v>1692</v>
      </c>
      <c r="C44" s="509"/>
      <c r="D44" s="509"/>
      <c r="E44" s="509"/>
      <c r="F44" s="509"/>
      <c r="G44" s="314"/>
      <c r="H44" s="319">
        <f t="shared" si="0"/>
        <v>0</v>
      </c>
      <c r="I44" s="148"/>
      <c r="J44" s="148"/>
      <c r="K44" s="148"/>
      <c r="L44" s="148"/>
      <c r="M44" s="148"/>
      <c r="N44" s="148"/>
      <c r="O44" s="148"/>
      <c r="P44" s="148"/>
    </row>
    <row r="45" spans="1:16" s="113" customFormat="1" ht="31.5">
      <c r="A45" s="523" t="s">
        <v>1656</v>
      </c>
      <c r="B45" s="510" t="s">
        <v>1693</v>
      </c>
      <c r="C45" s="509"/>
      <c r="D45" s="509"/>
      <c r="E45" s="522" t="s">
        <v>1658</v>
      </c>
      <c r="F45" s="507">
        <v>2</v>
      </c>
      <c r="G45" s="316">
        <v>850000</v>
      </c>
      <c r="H45" s="319">
        <f t="shared" si="0"/>
        <v>1700000</v>
      </c>
      <c r="I45" s="148"/>
      <c r="J45" s="148"/>
      <c r="K45" s="148"/>
      <c r="L45" s="148"/>
      <c r="M45" s="148"/>
      <c r="N45" s="148"/>
      <c r="O45" s="148"/>
      <c r="P45" s="148"/>
    </row>
    <row r="46" spans="1:16" s="127" customFormat="1" ht="19.5">
      <c r="A46" s="509"/>
      <c r="B46" s="513" t="s">
        <v>1694</v>
      </c>
      <c r="C46" s="509"/>
      <c r="D46" s="520" t="s">
        <v>1686</v>
      </c>
      <c r="E46" s="506" t="s">
        <v>10</v>
      </c>
      <c r="F46" s="507">
        <v>4</v>
      </c>
      <c r="G46" s="315">
        <v>55000</v>
      </c>
      <c r="H46" s="319">
        <f t="shared" si="0"/>
        <v>220000</v>
      </c>
      <c r="I46" s="228"/>
      <c r="J46" s="228"/>
      <c r="K46" s="228"/>
      <c r="L46" s="228"/>
      <c r="M46" s="228"/>
      <c r="N46" s="228"/>
      <c r="O46" s="228"/>
      <c r="P46" s="228"/>
    </row>
    <row r="47" spans="1:16" s="115" customFormat="1" ht="18.75">
      <c r="A47" s="515">
        <v>12</v>
      </c>
      <c r="B47" s="517" t="s">
        <v>1695</v>
      </c>
      <c r="C47" s="509"/>
      <c r="D47" s="509"/>
      <c r="E47" s="509"/>
      <c r="F47" s="509"/>
      <c r="G47" s="318"/>
      <c r="H47" s="319">
        <f t="shared" si="0"/>
        <v>0</v>
      </c>
      <c r="I47" s="155"/>
      <c r="J47" s="155"/>
      <c r="K47" s="155"/>
      <c r="L47" s="155"/>
      <c r="M47" s="155"/>
      <c r="N47" s="155"/>
      <c r="O47" s="155"/>
      <c r="P47" s="155"/>
    </row>
    <row r="48" spans="1:16" s="115" customFormat="1" ht="31.5">
      <c r="A48" s="524" t="s">
        <v>1696</v>
      </c>
      <c r="B48" s="525" t="s">
        <v>1697</v>
      </c>
      <c r="C48" s="506"/>
      <c r="D48" s="506"/>
      <c r="E48" s="506" t="s">
        <v>10</v>
      </c>
      <c r="F48" s="507">
        <v>1</v>
      </c>
      <c r="G48" s="316">
        <v>115000000</v>
      </c>
      <c r="H48" s="319">
        <f t="shared" si="0"/>
        <v>115000000</v>
      </c>
      <c r="I48" s="155"/>
      <c r="J48" s="155"/>
      <c r="K48" s="155"/>
      <c r="L48" s="155"/>
      <c r="M48" s="155"/>
      <c r="N48" s="155"/>
      <c r="O48" s="155"/>
      <c r="P48" s="155"/>
    </row>
    <row r="49" spans="1:16" s="124" customFormat="1" ht="18.75">
      <c r="A49" s="506" t="s">
        <v>139</v>
      </c>
      <c r="B49" s="526" t="s">
        <v>1698</v>
      </c>
      <c r="C49" s="509"/>
      <c r="D49" s="509"/>
      <c r="E49" s="509"/>
      <c r="F49" s="509"/>
      <c r="G49" s="318"/>
      <c r="H49" s="319">
        <f t="shared" si="0"/>
        <v>0</v>
      </c>
      <c r="I49" s="211"/>
      <c r="J49" s="211"/>
      <c r="K49" s="211"/>
      <c r="L49" s="211"/>
      <c r="M49" s="211"/>
      <c r="N49" s="211"/>
      <c r="O49" s="211"/>
      <c r="P49" s="211"/>
    </row>
    <row r="50" spans="1:16" s="124" customFormat="1" ht="18.75">
      <c r="A50" s="506" t="s">
        <v>1656</v>
      </c>
      <c r="B50" s="527" t="s">
        <v>1699</v>
      </c>
      <c r="C50" s="509"/>
      <c r="D50" s="509"/>
      <c r="E50" s="509"/>
      <c r="F50" s="509"/>
      <c r="G50" s="315"/>
      <c r="H50" s="319">
        <f t="shared" si="0"/>
        <v>0</v>
      </c>
      <c r="I50" s="211"/>
      <c r="J50" s="211"/>
      <c r="K50" s="211"/>
      <c r="L50" s="211"/>
      <c r="M50" s="211"/>
      <c r="N50" s="211"/>
      <c r="O50" s="211"/>
      <c r="P50" s="211"/>
    </row>
    <row r="51" spans="1:16" s="124" customFormat="1" ht="18.75">
      <c r="A51" s="506" t="s">
        <v>1656</v>
      </c>
      <c r="B51" s="527" t="s">
        <v>1700</v>
      </c>
      <c r="C51" s="509"/>
      <c r="D51" s="509"/>
      <c r="E51" s="509"/>
      <c r="F51" s="509"/>
      <c r="G51" s="315"/>
      <c r="H51" s="319">
        <f t="shared" si="0"/>
        <v>0</v>
      </c>
      <c r="I51" s="211"/>
      <c r="J51" s="211"/>
      <c r="K51" s="211"/>
      <c r="L51" s="211"/>
      <c r="M51" s="211"/>
      <c r="N51" s="211"/>
      <c r="O51" s="211"/>
      <c r="P51" s="211"/>
    </row>
    <row r="52" spans="1:16" s="124" customFormat="1" ht="18.75">
      <c r="A52" s="506" t="s">
        <v>1656</v>
      </c>
      <c r="B52" s="527" t="s">
        <v>1701</v>
      </c>
      <c r="C52" s="509"/>
      <c r="D52" s="509"/>
      <c r="E52" s="509"/>
      <c r="F52" s="509"/>
      <c r="G52" s="315"/>
      <c r="H52" s="319">
        <f t="shared" si="0"/>
        <v>0</v>
      </c>
      <c r="I52" s="211"/>
      <c r="J52" s="211"/>
      <c r="K52" s="211"/>
      <c r="L52" s="211"/>
      <c r="M52" s="211"/>
      <c r="N52" s="211"/>
      <c r="O52" s="211"/>
      <c r="P52" s="211"/>
    </row>
    <row r="53" spans="1:16" s="115" customFormat="1" ht="18.75">
      <c r="A53" s="506" t="s">
        <v>1656</v>
      </c>
      <c r="B53" s="527" t="s">
        <v>1702</v>
      </c>
      <c r="C53" s="509"/>
      <c r="D53" s="509"/>
      <c r="E53" s="509"/>
      <c r="F53" s="509"/>
      <c r="G53" s="315"/>
      <c r="H53" s="319">
        <f t="shared" si="0"/>
        <v>0</v>
      </c>
      <c r="I53" s="155"/>
      <c r="J53" s="155"/>
      <c r="K53" s="155"/>
      <c r="L53" s="155"/>
      <c r="M53" s="155"/>
      <c r="N53" s="155"/>
      <c r="O53" s="155"/>
      <c r="P53" s="155"/>
    </row>
    <row r="54" spans="1:16" s="113" customFormat="1" ht="18.75">
      <c r="A54" s="506" t="s">
        <v>1656</v>
      </c>
      <c r="B54" s="527" t="s">
        <v>1703</v>
      </c>
      <c r="C54" s="509"/>
      <c r="D54" s="509"/>
      <c r="E54" s="509"/>
      <c r="F54" s="509"/>
      <c r="G54" s="315"/>
      <c r="H54" s="319">
        <f t="shared" si="0"/>
        <v>0</v>
      </c>
      <c r="I54" s="148"/>
      <c r="J54" s="148"/>
      <c r="K54" s="148"/>
      <c r="L54" s="148"/>
      <c r="M54" s="148"/>
      <c r="N54" s="148"/>
      <c r="O54" s="148"/>
      <c r="P54" s="148"/>
    </row>
    <row r="55" spans="1:16" s="113" customFormat="1" ht="18.75">
      <c r="A55" s="506" t="s">
        <v>1656</v>
      </c>
      <c r="B55" s="527" t="s">
        <v>1704</v>
      </c>
      <c r="C55" s="506"/>
      <c r="D55" s="506"/>
      <c r="E55" s="506"/>
      <c r="F55" s="507"/>
      <c r="G55" s="315"/>
      <c r="H55" s="319">
        <f t="shared" si="0"/>
        <v>0</v>
      </c>
      <c r="I55" s="148"/>
      <c r="J55" s="148"/>
      <c r="K55" s="148"/>
      <c r="L55" s="148"/>
      <c r="M55" s="148"/>
      <c r="N55" s="148"/>
      <c r="O55" s="148"/>
      <c r="P55" s="148"/>
    </row>
    <row r="56" spans="1:16" s="113" customFormat="1" ht="18.75">
      <c r="A56" s="506" t="s">
        <v>1656</v>
      </c>
      <c r="B56" s="527" t="s">
        <v>1705</v>
      </c>
      <c r="C56" s="506"/>
      <c r="D56" s="506"/>
      <c r="E56" s="506"/>
      <c r="F56" s="507"/>
      <c r="G56" s="315"/>
      <c r="H56" s="319">
        <f t="shared" si="0"/>
        <v>0</v>
      </c>
      <c r="I56" s="148"/>
      <c r="J56" s="148"/>
      <c r="K56" s="148"/>
      <c r="L56" s="148"/>
      <c r="M56" s="148"/>
      <c r="N56" s="148"/>
      <c r="O56" s="148"/>
      <c r="P56" s="148"/>
    </row>
    <row r="57" spans="1:16" s="113" customFormat="1" ht="18.75">
      <c r="A57" s="506" t="s">
        <v>1656</v>
      </c>
      <c r="B57" s="527" t="s">
        <v>1706</v>
      </c>
      <c r="C57" s="506"/>
      <c r="D57" s="506"/>
      <c r="E57" s="506"/>
      <c r="F57" s="507"/>
      <c r="G57" s="315"/>
      <c r="H57" s="319">
        <f t="shared" si="0"/>
        <v>0</v>
      </c>
      <c r="I57" s="148"/>
      <c r="J57" s="148"/>
      <c r="K57" s="148"/>
      <c r="L57" s="148"/>
      <c r="M57" s="148"/>
      <c r="N57" s="148"/>
      <c r="O57" s="148"/>
      <c r="P57" s="148"/>
    </row>
    <row r="58" spans="1:16" s="113" customFormat="1" ht="18.75">
      <c r="A58" s="506" t="s">
        <v>1656</v>
      </c>
      <c r="B58" s="527" t="s">
        <v>1707</v>
      </c>
      <c r="C58" s="506"/>
      <c r="D58" s="506"/>
      <c r="E58" s="506"/>
      <c r="F58" s="507"/>
      <c r="G58" s="315"/>
      <c r="H58" s="319">
        <f t="shared" si="0"/>
        <v>0</v>
      </c>
      <c r="I58" s="148"/>
      <c r="J58" s="148"/>
      <c r="K58" s="148"/>
      <c r="L58" s="148"/>
      <c r="M58" s="148"/>
      <c r="N58" s="148"/>
      <c r="O58" s="148"/>
      <c r="P58" s="148"/>
    </row>
    <row r="59" spans="1:16" s="113" customFormat="1" ht="18.75">
      <c r="A59" s="506" t="s">
        <v>1656</v>
      </c>
      <c r="B59" s="527" t="s">
        <v>1708</v>
      </c>
      <c r="C59" s="506"/>
      <c r="D59" s="506"/>
      <c r="E59" s="506"/>
      <c r="F59" s="507"/>
      <c r="G59" s="315"/>
      <c r="H59" s="319">
        <f t="shared" si="0"/>
        <v>0</v>
      </c>
      <c r="I59" s="148"/>
      <c r="J59" s="148"/>
      <c r="K59" s="148"/>
      <c r="L59" s="148"/>
      <c r="M59" s="148"/>
      <c r="N59" s="148"/>
      <c r="O59" s="148"/>
      <c r="P59" s="148"/>
    </row>
    <row r="60" spans="1:16" s="130" customFormat="1" ht="18.75">
      <c r="A60" s="506" t="s">
        <v>1656</v>
      </c>
      <c r="B60" s="527" t="s">
        <v>1709</v>
      </c>
      <c r="C60" s="506"/>
      <c r="D60" s="506"/>
      <c r="E60" s="506"/>
      <c r="F60" s="507"/>
      <c r="G60" s="315"/>
      <c r="H60" s="319">
        <f t="shared" si="0"/>
        <v>0</v>
      </c>
      <c r="I60" s="240"/>
      <c r="J60" s="240"/>
      <c r="K60" s="240"/>
      <c r="L60" s="240"/>
      <c r="M60" s="240"/>
      <c r="N60" s="240"/>
      <c r="O60" s="240"/>
      <c r="P60" s="240"/>
    </row>
    <row r="61" spans="1:16" s="130" customFormat="1" ht="18.75">
      <c r="A61" s="506" t="s">
        <v>1656</v>
      </c>
      <c r="B61" s="527" t="s">
        <v>1710</v>
      </c>
      <c r="C61" s="506"/>
      <c r="D61" s="506"/>
      <c r="E61" s="506"/>
      <c r="F61" s="507"/>
      <c r="G61" s="315"/>
      <c r="H61" s="319">
        <f t="shared" si="0"/>
        <v>0</v>
      </c>
      <c r="I61" s="240"/>
      <c r="J61" s="240"/>
      <c r="K61" s="240"/>
      <c r="L61" s="240"/>
      <c r="M61" s="240"/>
      <c r="N61" s="240"/>
      <c r="O61" s="240"/>
      <c r="P61" s="240"/>
    </row>
    <row r="62" spans="1:16" s="130" customFormat="1" ht="18.75">
      <c r="A62" s="506" t="s">
        <v>1656</v>
      </c>
      <c r="B62" s="527" t="s">
        <v>1711</v>
      </c>
      <c r="C62" s="506"/>
      <c r="D62" s="506"/>
      <c r="E62" s="506"/>
      <c r="F62" s="507"/>
      <c r="G62" s="316"/>
      <c r="H62" s="319">
        <f t="shared" si="0"/>
        <v>0</v>
      </c>
      <c r="I62" s="240"/>
      <c r="J62" s="240"/>
      <c r="K62" s="240"/>
      <c r="L62" s="240"/>
      <c r="M62" s="240"/>
      <c r="N62" s="240"/>
      <c r="O62" s="240"/>
      <c r="P62" s="240"/>
    </row>
    <row r="63" spans="1:16" s="130" customFormat="1" ht="31.5">
      <c r="A63" s="506" t="s">
        <v>139</v>
      </c>
      <c r="B63" s="526" t="s">
        <v>1712</v>
      </c>
      <c r="C63" s="506"/>
      <c r="D63" s="506"/>
      <c r="E63" s="506"/>
      <c r="F63" s="507"/>
      <c r="G63" s="316"/>
      <c r="H63" s="319">
        <f t="shared" si="0"/>
        <v>0</v>
      </c>
      <c r="I63" s="240"/>
      <c r="J63" s="240"/>
      <c r="K63" s="240"/>
      <c r="L63" s="240"/>
      <c r="M63" s="240"/>
      <c r="N63" s="240"/>
      <c r="O63" s="240"/>
      <c r="P63" s="240"/>
    </row>
    <row r="64" spans="1:16" s="130" customFormat="1" ht="18.75">
      <c r="A64" s="506" t="s">
        <v>1656</v>
      </c>
      <c r="B64" s="527" t="s">
        <v>1713</v>
      </c>
      <c r="C64" s="506"/>
      <c r="D64" s="506"/>
      <c r="E64" s="506"/>
      <c r="F64" s="507"/>
      <c r="G64" s="315"/>
      <c r="H64" s="319">
        <f t="shared" si="0"/>
        <v>0</v>
      </c>
      <c r="I64" s="240"/>
      <c r="J64" s="240"/>
      <c r="K64" s="240"/>
      <c r="L64" s="240"/>
      <c r="M64" s="240"/>
      <c r="N64" s="240"/>
      <c r="O64" s="240"/>
      <c r="P64" s="240"/>
    </row>
    <row r="65" spans="1:16" s="130" customFormat="1" ht="31.5">
      <c r="A65" s="506" t="s">
        <v>1656</v>
      </c>
      <c r="B65" s="527" t="s">
        <v>1714</v>
      </c>
      <c r="C65" s="506"/>
      <c r="D65" s="506"/>
      <c r="E65" s="506"/>
      <c r="F65" s="507"/>
      <c r="G65" s="315"/>
      <c r="H65" s="319">
        <f t="shared" si="0"/>
        <v>0</v>
      </c>
      <c r="I65" s="240"/>
      <c r="J65" s="240"/>
      <c r="K65" s="240"/>
      <c r="L65" s="240"/>
      <c r="M65" s="240"/>
      <c r="N65" s="240"/>
      <c r="O65" s="240"/>
      <c r="P65" s="240"/>
    </row>
    <row r="66" spans="1:16" s="130" customFormat="1" ht="18.75">
      <c r="A66" s="506" t="s">
        <v>1656</v>
      </c>
      <c r="B66" s="527" t="s">
        <v>1715</v>
      </c>
      <c r="C66" s="506"/>
      <c r="D66" s="506"/>
      <c r="E66" s="506"/>
      <c r="F66" s="507"/>
      <c r="G66" s="315"/>
      <c r="H66" s="319">
        <f t="shared" si="0"/>
        <v>0</v>
      </c>
      <c r="I66" s="240"/>
      <c r="J66" s="240"/>
      <c r="K66" s="240"/>
      <c r="L66" s="240"/>
      <c r="M66" s="240"/>
      <c r="N66" s="240"/>
      <c r="O66" s="240"/>
      <c r="P66" s="240"/>
    </row>
    <row r="67" spans="1:16" s="130" customFormat="1" ht="18.75">
      <c r="A67" s="506" t="s">
        <v>1656</v>
      </c>
      <c r="B67" s="527" t="s">
        <v>1716</v>
      </c>
      <c r="C67" s="506"/>
      <c r="D67" s="506"/>
      <c r="E67" s="506"/>
      <c r="F67" s="507"/>
      <c r="G67" s="315"/>
      <c r="H67" s="319">
        <f t="shared" si="0"/>
        <v>0</v>
      </c>
      <c r="I67" s="240"/>
      <c r="J67" s="240"/>
      <c r="K67" s="240"/>
      <c r="L67" s="240"/>
      <c r="M67" s="240"/>
      <c r="N67" s="240"/>
      <c r="O67" s="240"/>
      <c r="P67" s="240"/>
    </row>
    <row r="68" spans="1:16" s="130" customFormat="1" ht="18.75">
      <c r="A68" s="506" t="s">
        <v>1656</v>
      </c>
      <c r="B68" s="527" t="s">
        <v>1717</v>
      </c>
      <c r="C68" s="506"/>
      <c r="D68" s="506"/>
      <c r="E68" s="506"/>
      <c r="F68" s="507"/>
      <c r="G68" s="315"/>
      <c r="H68" s="319">
        <f t="shared" si="0"/>
        <v>0</v>
      </c>
      <c r="I68" s="240"/>
      <c r="J68" s="240"/>
      <c r="K68" s="240"/>
      <c r="L68" s="240"/>
      <c r="M68" s="240"/>
      <c r="N68" s="240"/>
      <c r="O68" s="240"/>
      <c r="P68" s="240"/>
    </row>
    <row r="69" spans="1:16" s="113" customFormat="1" ht="18.75">
      <c r="A69" s="506" t="s">
        <v>1656</v>
      </c>
      <c r="B69" s="527" t="s">
        <v>1718</v>
      </c>
      <c r="C69" s="506"/>
      <c r="D69" s="506"/>
      <c r="E69" s="506"/>
      <c r="F69" s="507"/>
      <c r="G69" s="315"/>
      <c r="H69" s="319">
        <f t="shared" si="0"/>
        <v>0</v>
      </c>
      <c r="I69" s="148"/>
      <c r="J69" s="148"/>
      <c r="K69" s="148"/>
      <c r="L69" s="148"/>
      <c r="M69" s="148"/>
      <c r="N69" s="148"/>
      <c r="O69" s="148"/>
      <c r="P69" s="148"/>
    </row>
    <row r="70" spans="1:16" s="115" customFormat="1" ht="18.75">
      <c r="A70" s="506" t="s">
        <v>1656</v>
      </c>
      <c r="B70" s="527" t="s">
        <v>1719</v>
      </c>
      <c r="C70" s="506"/>
      <c r="D70" s="506"/>
      <c r="E70" s="506"/>
      <c r="F70" s="507"/>
      <c r="G70" s="315"/>
      <c r="H70" s="319">
        <f t="shared" si="0"/>
        <v>0</v>
      </c>
      <c r="I70" s="155"/>
      <c r="J70" s="155"/>
      <c r="K70" s="155"/>
      <c r="L70" s="155"/>
      <c r="M70" s="155"/>
      <c r="N70" s="155"/>
      <c r="O70" s="155"/>
      <c r="P70" s="155"/>
    </row>
    <row r="71" spans="1:16" s="115" customFormat="1" ht="18.75">
      <c r="A71" s="506" t="s">
        <v>1656</v>
      </c>
      <c r="B71" s="527" t="s">
        <v>1720</v>
      </c>
      <c r="C71" s="506"/>
      <c r="D71" s="506"/>
      <c r="E71" s="506"/>
      <c r="F71" s="507"/>
      <c r="G71" s="315"/>
      <c r="H71" s="319">
        <f t="shared" si="0"/>
        <v>0</v>
      </c>
      <c r="I71" s="155"/>
      <c r="J71" s="155"/>
      <c r="K71" s="155"/>
      <c r="L71" s="155"/>
      <c r="M71" s="155"/>
      <c r="N71" s="155"/>
      <c r="O71" s="155"/>
      <c r="P71" s="155"/>
    </row>
    <row r="72" spans="1:16" s="115" customFormat="1" ht="31.5">
      <c r="A72" s="506" t="s">
        <v>1656</v>
      </c>
      <c r="B72" s="527" t="s">
        <v>1721</v>
      </c>
      <c r="C72" s="506"/>
      <c r="D72" s="506"/>
      <c r="E72" s="506"/>
      <c r="F72" s="507"/>
      <c r="G72" s="315"/>
      <c r="H72" s="319">
        <f t="shared" si="0"/>
        <v>0</v>
      </c>
      <c r="I72" s="155"/>
      <c r="J72" s="155"/>
      <c r="K72" s="155"/>
      <c r="L72" s="155"/>
      <c r="M72" s="155"/>
      <c r="N72" s="155"/>
      <c r="O72" s="155"/>
      <c r="P72" s="155"/>
    </row>
    <row r="73" spans="1:16" s="115" customFormat="1" ht="31.5">
      <c r="A73" s="506" t="s">
        <v>1656</v>
      </c>
      <c r="B73" s="527" t="s">
        <v>1722</v>
      </c>
      <c r="C73" s="506"/>
      <c r="D73" s="506"/>
      <c r="E73" s="506"/>
      <c r="F73" s="507"/>
      <c r="G73" s="315"/>
      <c r="H73" s="319">
        <f t="shared" si="0"/>
        <v>0</v>
      </c>
      <c r="I73" s="155"/>
      <c r="J73" s="155"/>
      <c r="K73" s="155"/>
      <c r="L73" s="155"/>
      <c r="M73" s="155"/>
      <c r="N73" s="155"/>
      <c r="O73" s="155"/>
      <c r="P73" s="155"/>
    </row>
    <row r="74" spans="1:16" s="115" customFormat="1" ht="18.75">
      <c r="A74" s="506" t="s">
        <v>1656</v>
      </c>
      <c r="B74" s="527" t="s">
        <v>1723</v>
      </c>
      <c r="C74" s="506"/>
      <c r="D74" s="506"/>
      <c r="E74" s="506"/>
      <c r="F74" s="507"/>
      <c r="G74" s="315"/>
      <c r="H74" s="319">
        <f t="shared" si="0"/>
        <v>0</v>
      </c>
      <c r="I74" s="155"/>
      <c r="J74" s="155"/>
      <c r="K74" s="155"/>
      <c r="L74" s="155"/>
      <c r="M74" s="155"/>
      <c r="N74" s="155"/>
      <c r="O74" s="155"/>
      <c r="P74" s="155"/>
    </row>
    <row r="75" spans="1:16" s="115" customFormat="1" ht="31.5">
      <c r="A75" s="506" t="s">
        <v>1656</v>
      </c>
      <c r="B75" s="527" t="s">
        <v>1724</v>
      </c>
      <c r="C75" s="506"/>
      <c r="D75" s="506"/>
      <c r="E75" s="506"/>
      <c r="F75" s="507"/>
      <c r="G75" s="315"/>
      <c r="H75" s="319">
        <f t="shared" ref="H75:H138" si="1">F75*G75</f>
        <v>0</v>
      </c>
      <c r="I75" s="155"/>
      <c r="J75" s="155"/>
      <c r="K75" s="155"/>
      <c r="L75" s="155"/>
      <c r="M75" s="155"/>
      <c r="N75" s="155"/>
      <c r="O75" s="155"/>
      <c r="P75" s="155"/>
    </row>
    <row r="76" spans="1:16" s="115" customFormat="1" ht="31.5">
      <c r="A76" s="506" t="s">
        <v>1656</v>
      </c>
      <c r="B76" s="527" t="s">
        <v>1725</v>
      </c>
      <c r="C76" s="506"/>
      <c r="D76" s="506"/>
      <c r="E76" s="506"/>
      <c r="F76" s="507"/>
      <c r="G76" s="315"/>
      <c r="H76" s="319">
        <f t="shared" si="1"/>
        <v>0</v>
      </c>
      <c r="I76" s="155"/>
      <c r="J76" s="155"/>
      <c r="K76" s="155"/>
      <c r="L76" s="155"/>
      <c r="M76" s="155"/>
      <c r="N76" s="155"/>
      <c r="O76" s="155"/>
      <c r="P76" s="155"/>
    </row>
    <row r="77" spans="1:16" s="115" customFormat="1" ht="18.75">
      <c r="A77" s="506" t="s">
        <v>1656</v>
      </c>
      <c r="B77" s="527" t="s">
        <v>1726</v>
      </c>
      <c r="C77" s="506"/>
      <c r="D77" s="506"/>
      <c r="E77" s="506"/>
      <c r="F77" s="507"/>
      <c r="G77" s="315"/>
      <c r="H77" s="319">
        <f t="shared" si="1"/>
        <v>0</v>
      </c>
      <c r="I77" s="155"/>
      <c r="J77" s="155"/>
      <c r="K77" s="155"/>
      <c r="L77" s="155"/>
      <c r="M77" s="155"/>
      <c r="N77" s="155"/>
      <c r="O77" s="155"/>
      <c r="P77" s="155"/>
    </row>
    <row r="78" spans="1:16" s="115" customFormat="1" ht="18.75">
      <c r="A78" s="506" t="s">
        <v>1656</v>
      </c>
      <c r="B78" s="527" t="s">
        <v>1727</v>
      </c>
      <c r="C78" s="506"/>
      <c r="D78" s="506"/>
      <c r="E78" s="506"/>
      <c r="F78" s="507"/>
      <c r="G78" s="315"/>
      <c r="H78" s="319">
        <f t="shared" si="1"/>
        <v>0</v>
      </c>
      <c r="I78" s="155"/>
      <c r="J78" s="155"/>
      <c r="K78" s="155"/>
      <c r="L78" s="155"/>
      <c r="M78" s="155"/>
      <c r="N78" s="155"/>
      <c r="O78" s="155"/>
      <c r="P78" s="155"/>
    </row>
    <row r="79" spans="1:16" s="115" customFormat="1" ht="18.75">
      <c r="A79" s="506" t="s">
        <v>1656</v>
      </c>
      <c r="B79" s="527" t="s">
        <v>1728</v>
      </c>
      <c r="C79" s="506"/>
      <c r="D79" s="506"/>
      <c r="E79" s="506"/>
      <c r="F79" s="507"/>
      <c r="G79" s="315"/>
      <c r="H79" s="319">
        <f t="shared" si="1"/>
        <v>0</v>
      </c>
      <c r="I79" s="155"/>
      <c r="J79" s="155"/>
      <c r="K79" s="155"/>
      <c r="L79" s="155"/>
      <c r="M79" s="155"/>
      <c r="N79" s="155"/>
      <c r="O79" s="155"/>
      <c r="P79" s="155"/>
    </row>
    <row r="80" spans="1:16" s="112" customFormat="1" ht="16.5">
      <c r="A80" s="506" t="s">
        <v>1656</v>
      </c>
      <c r="B80" s="527" t="s">
        <v>1729</v>
      </c>
      <c r="C80" s="506"/>
      <c r="D80" s="506"/>
      <c r="E80" s="506"/>
      <c r="F80" s="507"/>
      <c r="G80" s="315"/>
      <c r="H80" s="319">
        <f t="shared" si="1"/>
        <v>0</v>
      </c>
      <c r="I80" s="148"/>
      <c r="J80" s="148"/>
      <c r="K80" s="148"/>
      <c r="L80" s="148"/>
      <c r="M80" s="148"/>
      <c r="N80" s="148"/>
      <c r="O80" s="148"/>
      <c r="P80" s="148"/>
    </row>
    <row r="81" spans="1:16" s="113" customFormat="1" ht="18.75">
      <c r="A81" s="506" t="s">
        <v>1656</v>
      </c>
      <c r="B81" s="527" t="s">
        <v>1730</v>
      </c>
      <c r="C81" s="506"/>
      <c r="D81" s="506"/>
      <c r="E81" s="506"/>
      <c r="F81" s="507"/>
      <c r="G81" s="315"/>
      <c r="H81" s="319">
        <f t="shared" si="1"/>
        <v>0</v>
      </c>
      <c r="I81" s="148"/>
      <c r="J81" s="148"/>
      <c r="K81" s="148"/>
      <c r="L81" s="148"/>
      <c r="M81" s="148"/>
      <c r="N81" s="148"/>
      <c r="O81" s="148"/>
      <c r="P81" s="148"/>
    </row>
    <row r="82" spans="1:16" s="113" customFormat="1" ht="31.5">
      <c r="A82" s="506" t="s">
        <v>1656</v>
      </c>
      <c r="B82" s="527" t="s">
        <v>1731</v>
      </c>
      <c r="C82" s="506"/>
      <c r="D82" s="506"/>
      <c r="E82" s="506"/>
      <c r="F82" s="507"/>
      <c r="G82" s="315"/>
      <c r="H82" s="319">
        <f t="shared" si="1"/>
        <v>0</v>
      </c>
      <c r="I82" s="148"/>
      <c r="J82" s="148"/>
      <c r="K82" s="148"/>
      <c r="L82" s="148"/>
      <c r="M82" s="148"/>
      <c r="N82" s="148"/>
      <c r="O82" s="148"/>
      <c r="P82" s="148"/>
    </row>
    <row r="83" spans="1:16" s="113" customFormat="1" ht="18.75">
      <c r="A83" s="506" t="s">
        <v>1656</v>
      </c>
      <c r="B83" s="527" t="s">
        <v>1732</v>
      </c>
      <c r="C83" s="506"/>
      <c r="D83" s="506"/>
      <c r="E83" s="506"/>
      <c r="F83" s="507"/>
      <c r="G83" s="315"/>
      <c r="H83" s="319">
        <f t="shared" si="1"/>
        <v>0</v>
      </c>
      <c r="I83" s="148"/>
      <c r="J83" s="148"/>
      <c r="K83" s="148"/>
      <c r="L83" s="148"/>
      <c r="M83" s="148"/>
      <c r="N83" s="148"/>
      <c r="O83" s="148"/>
      <c r="P83" s="148"/>
    </row>
    <row r="84" spans="1:16" s="113" customFormat="1" ht="18.75">
      <c r="A84" s="506"/>
      <c r="B84" s="527" t="s">
        <v>984</v>
      </c>
      <c r="C84" s="506"/>
      <c r="D84" s="506"/>
      <c r="E84" s="506"/>
      <c r="F84" s="507"/>
      <c r="G84" s="315"/>
      <c r="H84" s="319">
        <f t="shared" si="1"/>
        <v>0</v>
      </c>
      <c r="I84" s="148"/>
      <c r="J84" s="148"/>
      <c r="K84" s="148"/>
      <c r="L84" s="148"/>
      <c r="M84" s="148"/>
      <c r="N84" s="148"/>
      <c r="O84" s="148"/>
      <c r="P84" s="148"/>
    </row>
    <row r="85" spans="1:16" s="113" customFormat="1" ht="18.75">
      <c r="A85" s="506"/>
      <c r="B85" s="528" t="s">
        <v>71</v>
      </c>
      <c r="C85" s="529"/>
      <c r="D85" s="530" t="s">
        <v>1121</v>
      </c>
      <c r="E85" s="531" t="s">
        <v>32</v>
      </c>
      <c r="F85" s="507">
        <v>4</v>
      </c>
      <c r="G85" s="312">
        <v>11777150</v>
      </c>
      <c r="H85" s="319">
        <f t="shared" si="1"/>
        <v>47108600</v>
      </c>
      <c r="I85" s="148"/>
      <c r="J85" s="148"/>
      <c r="K85" s="148"/>
      <c r="L85" s="148"/>
      <c r="M85" s="148"/>
      <c r="N85" s="148"/>
      <c r="O85" s="148"/>
      <c r="P85" s="148"/>
    </row>
    <row r="86" spans="1:16" s="113" customFormat="1" ht="18.75">
      <c r="A86" s="506"/>
      <c r="B86" s="528" t="s">
        <v>1733</v>
      </c>
      <c r="C86" s="529"/>
      <c r="D86" s="530" t="s">
        <v>1121</v>
      </c>
      <c r="E86" s="531" t="s">
        <v>32</v>
      </c>
      <c r="F86" s="507">
        <v>4</v>
      </c>
      <c r="G86" s="312">
        <v>3150999.9999999995</v>
      </c>
      <c r="H86" s="319">
        <f t="shared" si="1"/>
        <v>12603999.999999998</v>
      </c>
      <c r="I86" s="148"/>
      <c r="J86" s="148"/>
      <c r="K86" s="148"/>
      <c r="L86" s="148"/>
      <c r="M86" s="148"/>
      <c r="N86" s="148"/>
      <c r="O86" s="148"/>
      <c r="P86" s="148"/>
    </row>
    <row r="87" spans="1:16" s="113" customFormat="1" ht="18.75">
      <c r="A87" s="506"/>
      <c r="B87" s="528" t="s">
        <v>1734</v>
      </c>
      <c r="C87" s="529"/>
      <c r="D87" s="530" t="s">
        <v>1121</v>
      </c>
      <c r="E87" s="531" t="s">
        <v>32</v>
      </c>
      <c r="F87" s="507">
        <v>1</v>
      </c>
      <c r="G87" s="315">
        <v>6171200</v>
      </c>
      <c r="H87" s="319">
        <f t="shared" si="1"/>
        <v>6171200</v>
      </c>
      <c r="I87" s="148"/>
      <c r="J87" s="148"/>
      <c r="K87" s="148"/>
      <c r="L87" s="148"/>
      <c r="M87" s="148"/>
      <c r="N87" s="148"/>
      <c r="O87" s="148"/>
      <c r="P87" s="148"/>
    </row>
    <row r="88" spans="1:16" s="113" customFormat="1" ht="18.75">
      <c r="A88" s="506"/>
      <c r="B88" s="532" t="s">
        <v>620</v>
      </c>
      <c r="C88" s="529"/>
      <c r="D88" s="530" t="s">
        <v>1494</v>
      </c>
      <c r="E88" s="531" t="s">
        <v>32</v>
      </c>
      <c r="F88" s="507">
        <v>4</v>
      </c>
      <c r="G88" s="315">
        <v>2470200</v>
      </c>
      <c r="H88" s="319">
        <f t="shared" si="1"/>
        <v>9880800</v>
      </c>
      <c r="I88" s="148"/>
      <c r="J88" s="148"/>
      <c r="K88" s="148"/>
      <c r="L88" s="148"/>
      <c r="M88" s="148"/>
      <c r="N88" s="148"/>
      <c r="O88" s="148"/>
      <c r="P88" s="148"/>
    </row>
    <row r="89" spans="1:16" s="113" customFormat="1" ht="18.75">
      <c r="A89" s="506"/>
      <c r="B89" s="532" t="s">
        <v>855</v>
      </c>
      <c r="C89" s="529"/>
      <c r="D89" s="530" t="s">
        <v>1121</v>
      </c>
      <c r="E89" s="506" t="s">
        <v>10</v>
      </c>
      <c r="F89" s="507">
        <v>4</v>
      </c>
      <c r="G89" s="315">
        <v>6472199.9999999991</v>
      </c>
      <c r="H89" s="319">
        <f t="shared" si="1"/>
        <v>25888799.999999996</v>
      </c>
      <c r="I89" s="148"/>
      <c r="J89" s="148"/>
      <c r="K89" s="148"/>
      <c r="L89" s="148"/>
      <c r="M89" s="148"/>
      <c r="N89" s="148"/>
      <c r="O89" s="148"/>
      <c r="P89" s="148"/>
    </row>
    <row r="90" spans="1:16" s="113" customFormat="1" ht="18.75">
      <c r="A90" s="506"/>
      <c r="B90" s="528" t="s">
        <v>235</v>
      </c>
      <c r="C90" s="529"/>
      <c r="D90" s="530" t="s">
        <v>1121</v>
      </c>
      <c r="E90" s="531" t="s">
        <v>32</v>
      </c>
      <c r="F90" s="507">
        <v>4</v>
      </c>
      <c r="G90" s="315">
        <v>2005599.9999999998</v>
      </c>
      <c r="H90" s="319">
        <f t="shared" si="1"/>
        <v>8022399.9999999991</v>
      </c>
      <c r="I90" s="148"/>
      <c r="J90" s="148"/>
      <c r="K90" s="148"/>
      <c r="L90" s="148"/>
      <c r="M90" s="148"/>
      <c r="N90" s="148"/>
      <c r="O90" s="148"/>
      <c r="P90" s="148"/>
    </row>
    <row r="91" spans="1:16" s="113" customFormat="1" ht="18.75">
      <c r="A91" s="506"/>
      <c r="B91" s="528" t="s">
        <v>72</v>
      </c>
      <c r="C91" s="529"/>
      <c r="D91" s="530" t="s">
        <v>1121</v>
      </c>
      <c r="E91" s="506" t="s">
        <v>10</v>
      </c>
      <c r="F91" s="507">
        <v>1</v>
      </c>
      <c r="G91" s="315">
        <v>5498400</v>
      </c>
      <c r="H91" s="319">
        <f t="shared" si="1"/>
        <v>5498400</v>
      </c>
      <c r="I91" s="148"/>
      <c r="J91" s="148"/>
      <c r="K91" s="148"/>
      <c r="L91" s="148"/>
      <c r="M91" s="148"/>
      <c r="N91" s="148"/>
      <c r="O91" s="148"/>
      <c r="P91" s="148"/>
    </row>
    <row r="92" spans="1:16" s="113" customFormat="1" ht="18.75">
      <c r="A92" s="506"/>
      <c r="B92" s="528" t="s">
        <v>1735</v>
      </c>
      <c r="C92" s="529"/>
      <c r="D92" s="530" t="s">
        <v>1121</v>
      </c>
      <c r="E92" s="506" t="s">
        <v>10</v>
      </c>
      <c r="F92" s="507">
        <v>16</v>
      </c>
      <c r="G92" s="315">
        <v>657800</v>
      </c>
      <c r="H92" s="319">
        <f t="shared" si="1"/>
        <v>10524800</v>
      </c>
      <c r="I92" s="148"/>
      <c r="J92" s="148"/>
      <c r="K92" s="148"/>
      <c r="L92" s="148"/>
      <c r="M92" s="148"/>
      <c r="N92" s="148"/>
      <c r="O92" s="148"/>
      <c r="P92" s="148"/>
    </row>
    <row r="93" spans="1:16" s="113" customFormat="1" ht="18.75">
      <c r="A93" s="506"/>
      <c r="B93" s="528" t="s">
        <v>422</v>
      </c>
      <c r="C93" s="529"/>
      <c r="D93" s="530" t="s">
        <v>1121</v>
      </c>
      <c r="E93" s="506" t="s">
        <v>10</v>
      </c>
      <c r="F93" s="507">
        <v>4</v>
      </c>
      <c r="G93" s="315">
        <v>209299.99999999997</v>
      </c>
      <c r="H93" s="319">
        <f t="shared" si="1"/>
        <v>837199.99999999988</v>
      </c>
      <c r="I93" s="148"/>
      <c r="J93" s="148"/>
      <c r="K93" s="148"/>
      <c r="L93" s="148"/>
      <c r="M93" s="148"/>
      <c r="N93" s="148"/>
      <c r="O93" s="148"/>
      <c r="P93" s="148"/>
    </row>
    <row r="94" spans="1:16" s="113" customFormat="1" ht="18.75">
      <c r="A94" s="506"/>
      <c r="B94" s="532" t="s">
        <v>423</v>
      </c>
      <c r="C94" s="529"/>
      <c r="D94" s="530" t="s">
        <v>1121</v>
      </c>
      <c r="E94" s="506" t="s">
        <v>10</v>
      </c>
      <c r="F94" s="507">
        <v>4</v>
      </c>
      <c r="G94" s="315">
        <v>646300</v>
      </c>
      <c r="H94" s="319">
        <f t="shared" si="1"/>
        <v>2585200</v>
      </c>
      <c r="I94" s="148"/>
      <c r="J94" s="148"/>
      <c r="K94" s="148"/>
      <c r="L94" s="148"/>
      <c r="M94" s="148"/>
      <c r="N94" s="148"/>
      <c r="O94" s="148"/>
      <c r="P94" s="148"/>
    </row>
    <row r="95" spans="1:16" s="113" customFormat="1" ht="18.75">
      <c r="A95" s="506"/>
      <c r="B95" s="532" t="s">
        <v>424</v>
      </c>
      <c r="C95" s="529"/>
      <c r="D95" s="530" t="s">
        <v>1121</v>
      </c>
      <c r="E95" s="506" t="s">
        <v>10</v>
      </c>
      <c r="F95" s="507">
        <v>1</v>
      </c>
      <c r="G95" s="315">
        <v>4542560</v>
      </c>
      <c r="H95" s="319">
        <f t="shared" si="1"/>
        <v>4542560</v>
      </c>
      <c r="I95" s="148"/>
      <c r="J95" s="148"/>
      <c r="K95" s="148"/>
      <c r="L95" s="148"/>
      <c r="M95" s="148"/>
      <c r="N95" s="148"/>
      <c r="O95" s="148"/>
      <c r="P95" s="148"/>
    </row>
    <row r="96" spans="1:16" s="113" customFormat="1" ht="18.75">
      <c r="A96" s="506"/>
      <c r="B96" s="528" t="s">
        <v>425</v>
      </c>
      <c r="C96" s="529"/>
      <c r="D96" s="530" t="s">
        <v>1121</v>
      </c>
      <c r="E96" s="506" t="s">
        <v>10</v>
      </c>
      <c r="F96" s="507">
        <v>1</v>
      </c>
      <c r="G96" s="315">
        <v>5527400</v>
      </c>
      <c r="H96" s="319">
        <f t="shared" si="1"/>
        <v>5527400</v>
      </c>
      <c r="I96" s="148"/>
      <c r="J96" s="148"/>
      <c r="K96" s="148"/>
      <c r="L96" s="148"/>
      <c r="M96" s="148"/>
      <c r="N96" s="148"/>
      <c r="O96" s="148"/>
      <c r="P96" s="148"/>
    </row>
    <row r="97" spans="1:16" s="113" customFormat="1" ht="18.75">
      <c r="A97" s="506"/>
      <c r="B97" s="528" t="s">
        <v>73</v>
      </c>
      <c r="C97" s="529"/>
      <c r="D97" s="530" t="s">
        <v>1121</v>
      </c>
      <c r="E97" s="506" t="s">
        <v>10</v>
      </c>
      <c r="F97" s="507">
        <v>1</v>
      </c>
      <c r="G97" s="315">
        <v>2922040</v>
      </c>
      <c r="H97" s="319">
        <f t="shared" si="1"/>
        <v>2922040</v>
      </c>
      <c r="I97" s="148"/>
      <c r="J97" s="148"/>
      <c r="K97" s="148"/>
      <c r="L97" s="148"/>
      <c r="M97" s="148"/>
      <c r="N97" s="148"/>
      <c r="O97" s="148"/>
      <c r="P97" s="148"/>
    </row>
    <row r="98" spans="1:16" s="113" customFormat="1" ht="18.75">
      <c r="A98" s="506"/>
      <c r="B98" s="532" t="s">
        <v>1736</v>
      </c>
      <c r="C98" s="529"/>
      <c r="D98" s="530" t="s">
        <v>1121</v>
      </c>
      <c r="E98" s="506" t="s">
        <v>10</v>
      </c>
      <c r="F98" s="507">
        <v>1</v>
      </c>
      <c r="G98" s="315">
        <v>547520</v>
      </c>
      <c r="H98" s="319">
        <f t="shared" si="1"/>
        <v>547520</v>
      </c>
      <c r="I98" s="148"/>
      <c r="J98" s="148"/>
      <c r="K98" s="148"/>
      <c r="L98" s="148"/>
      <c r="M98" s="148"/>
      <c r="N98" s="148"/>
      <c r="O98" s="148"/>
      <c r="P98" s="148"/>
    </row>
    <row r="99" spans="1:16" s="113" customFormat="1" ht="18.75">
      <c r="A99" s="506"/>
      <c r="B99" s="528" t="s">
        <v>1737</v>
      </c>
      <c r="C99" s="529"/>
      <c r="D99" s="530" t="s">
        <v>1121</v>
      </c>
      <c r="E99" s="506" t="s">
        <v>10</v>
      </c>
      <c r="F99" s="507">
        <v>2</v>
      </c>
      <c r="G99" s="312">
        <v>205849.99999999997</v>
      </c>
      <c r="H99" s="319">
        <f t="shared" si="1"/>
        <v>411699.99999999994</v>
      </c>
      <c r="I99" s="148"/>
      <c r="J99" s="148"/>
      <c r="K99" s="148"/>
      <c r="L99" s="148"/>
      <c r="M99" s="148"/>
      <c r="N99" s="148"/>
      <c r="O99" s="148"/>
      <c r="P99" s="148"/>
    </row>
    <row r="100" spans="1:16" s="113" customFormat="1" ht="18.75">
      <c r="A100" s="506"/>
      <c r="B100" s="528" t="s">
        <v>1738</v>
      </c>
      <c r="C100" s="529"/>
      <c r="D100" s="530" t="s">
        <v>1121</v>
      </c>
      <c r="E100" s="506" t="s">
        <v>10</v>
      </c>
      <c r="F100" s="507">
        <v>3</v>
      </c>
      <c r="G100" s="312">
        <v>300150</v>
      </c>
      <c r="H100" s="319">
        <f t="shared" si="1"/>
        <v>900450</v>
      </c>
      <c r="I100" s="854"/>
      <c r="J100" s="855"/>
      <c r="K100" s="855"/>
      <c r="L100" s="855"/>
      <c r="M100" s="855"/>
      <c r="N100" s="855"/>
      <c r="O100" s="855"/>
      <c r="P100" s="855"/>
    </row>
    <row r="101" spans="1:16" s="113" customFormat="1" ht="18.75">
      <c r="A101" s="506"/>
      <c r="B101" s="528" t="s">
        <v>1739</v>
      </c>
      <c r="C101" s="529"/>
      <c r="D101" s="530" t="s">
        <v>1121</v>
      </c>
      <c r="E101" s="506" t="s">
        <v>10</v>
      </c>
      <c r="F101" s="507">
        <v>1</v>
      </c>
      <c r="G101" s="315">
        <v>433839.99999999994</v>
      </c>
      <c r="H101" s="319">
        <f t="shared" si="1"/>
        <v>433839.99999999994</v>
      </c>
      <c r="I101" s="148"/>
      <c r="J101" s="148"/>
      <c r="K101" s="148"/>
      <c r="L101" s="148"/>
      <c r="M101" s="148"/>
      <c r="N101" s="148"/>
      <c r="O101" s="148"/>
      <c r="P101" s="148"/>
    </row>
    <row r="102" spans="1:16" s="113" customFormat="1" ht="18.75">
      <c r="A102" s="506"/>
      <c r="B102" s="528" t="s">
        <v>1740</v>
      </c>
      <c r="C102" s="529"/>
      <c r="D102" s="530" t="s">
        <v>1121</v>
      </c>
      <c r="E102" s="506" t="s">
        <v>10</v>
      </c>
      <c r="F102" s="507">
        <v>4</v>
      </c>
      <c r="G102" s="315">
        <v>979799.99999999988</v>
      </c>
      <c r="H102" s="319">
        <f t="shared" si="1"/>
        <v>3919199.9999999995</v>
      </c>
      <c r="I102" s="148"/>
      <c r="J102" s="148"/>
      <c r="K102" s="148"/>
      <c r="L102" s="148"/>
      <c r="M102" s="148"/>
      <c r="N102" s="148"/>
      <c r="O102" s="148"/>
      <c r="P102" s="148"/>
    </row>
    <row r="103" spans="1:16" s="113" customFormat="1" ht="18.75">
      <c r="A103" s="506"/>
      <c r="B103" s="528" t="s">
        <v>1741</v>
      </c>
      <c r="C103" s="529"/>
      <c r="D103" s="530" t="s">
        <v>1121</v>
      </c>
      <c r="E103" s="506" t="s">
        <v>10</v>
      </c>
      <c r="F103" s="507">
        <v>1</v>
      </c>
      <c r="G103" s="315">
        <v>959319.99999999988</v>
      </c>
      <c r="H103" s="319">
        <f t="shared" si="1"/>
        <v>959319.99999999988</v>
      </c>
      <c r="I103" s="148"/>
      <c r="J103" s="148"/>
      <c r="K103" s="148"/>
      <c r="L103" s="148"/>
      <c r="M103" s="148"/>
      <c r="N103" s="148"/>
      <c r="O103" s="148"/>
      <c r="P103" s="148"/>
    </row>
    <row r="104" spans="1:16" s="113" customFormat="1" ht="18.75">
      <c r="A104" s="506"/>
      <c r="B104" s="528" t="s">
        <v>426</v>
      </c>
      <c r="C104" s="529"/>
      <c r="D104" s="530" t="s">
        <v>1121</v>
      </c>
      <c r="E104" s="506" t="s">
        <v>10</v>
      </c>
      <c r="F104" s="507">
        <v>1</v>
      </c>
      <c r="G104" s="315">
        <v>5479840</v>
      </c>
      <c r="H104" s="319">
        <f t="shared" si="1"/>
        <v>5479840</v>
      </c>
      <c r="I104" s="148"/>
      <c r="J104" s="148"/>
      <c r="K104" s="148"/>
      <c r="L104" s="148"/>
      <c r="M104" s="148"/>
      <c r="N104" s="148"/>
      <c r="O104" s="148"/>
      <c r="P104" s="148"/>
    </row>
    <row r="105" spans="1:16" s="113" customFormat="1" ht="18.75">
      <c r="A105" s="506"/>
      <c r="B105" s="528" t="s">
        <v>1742</v>
      </c>
      <c r="C105" s="529"/>
      <c r="D105" s="530" t="s">
        <v>1121</v>
      </c>
      <c r="E105" s="506" t="s">
        <v>10</v>
      </c>
      <c r="F105" s="507">
        <v>1</v>
      </c>
      <c r="G105" s="315">
        <v>451239.99999999994</v>
      </c>
      <c r="H105" s="319">
        <f t="shared" si="1"/>
        <v>451239.99999999994</v>
      </c>
      <c r="I105" s="148"/>
      <c r="J105" s="148"/>
      <c r="K105" s="148"/>
      <c r="L105" s="148"/>
      <c r="M105" s="148"/>
      <c r="N105" s="148"/>
      <c r="O105" s="148"/>
      <c r="P105" s="148"/>
    </row>
    <row r="106" spans="1:16" s="113" customFormat="1" ht="18.75">
      <c r="A106" s="506"/>
      <c r="B106" s="528" t="s">
        <v>1743</v>
      </c>
      <c r="C106" s="529"/>
      <c r="D106" s="530" t="s">
        <v>1121</v>
      </c>
      <c r="E106" s="506" t="s">
        <v>10</v>
      </c>
      <c r="F106" s="507">
        <v>1</v>
      </c>
      <c r="G106" s="315">
        <v>2079879.9999999998</v>
      </c>
      <c r="H106" s="319">
        <f t="shared" si="1"/>
        <v>2079879.9999999998</v>
      </c>
      <c r="I106" s="148"/>
      <c r="J106" s="148"/>
      <c r="K106" s="148"/>
      <c r="L106" s="148"/>
      <c r="M106" s="148"/>
      <c r="N106" s="148"/>
      <c r="O106" s="148"/>
      <c r="P106" s="148"/>
    </row>
    <row r="107" spans="1:16" s="113" customFormat="1" ht="18.75">
      <c r="A107" s="506"/>
      <c r="B107" s="528" t="s">
        <v>1744</v>
      </c>
      <c r="C107" s="529"/>
      <c r="D107" s="530" t="s">
        <v>1121</v>
      </c>
      <c r="E107" s="506" t="s">
        <v>10</v>
      </c>
      <c r="F107" s="507">
        <v>1</v>
      </c>
      <c r="G107" s="315">
        <v>751680</v>
      </c>
      <c r="H107" s="319">
        <f t="shared" si="1"/>
        <v>751680</v>
      </c>
      <c r="I107" s="148"/>
      <c r="J107" s="148"/>
      <c r="K107" s="148"/>
      <c r="L107" s="148"/>
      <c r="M107" s="148"/>
      <c r="N107" s="148"/>
      <c r="O107" s="148"/>
      <c r="P107" s="148"/>
    </row>
    <row r="108" spans="1:16" s="113" customFormat="1" ht="18.75">
      <c r="A108" s="506"/>
      <c r="B108" s="528" t="s">
        <v>1745</v>
      </c>
      <c r="C108" s="529"/>
      <c r="D108" s="530" t="s">
        <v>1121</v>
      </c>
      <c r="E108" s="506" t="s">
        <v>10</v>
      </c>
      <c r="F108" s="507">
        <v>1</v>
      </c>
      <c r="G108" s="315">
        <v>283040</v>
      </c>
      <c r="H108" s="319">
        <f t="shared" si="1"/>
        <v>283040</v>
      </c>
      <c r="I108" s="148"/>
      <c r="J108" s="148"/>
      <c r="K108" s="148"/>
      <c r="L108" s="148"/>
      <c r="M108" s="148"/>
      <c r="N108" s="148"/>
      <c r="O108" s="148"/>
      <c r="P108" s="148"/>
    </row>
    <row r="109" spans="1:16" s="113" customFormat="1" ht="18.75">
      <c r="A109" s="506"/>
      <c r="B109" s="528" t="s">
        <v>1746</v>
      </c>
      <c r="C109" s="529"/>
      <c r="D109" s="530" t="s">
        <v>1121</v>
      </c>
      <c r="E109" s="506" t="s">
        <v>10</v>
      </c>
      <c r="F109" s="507">
        <v>2</v>
      </c>
      <c r="G109" s="312">
        <v>174800</v>
      </c>
      <c r="H109" s="319">
        <f t="shared" si="1"/>
        <v>349600</v>
      </c>
      <c r="I109" s="148"/>
      <c r="J109" s="148"/>
      <c r="K109" s="148"/>
      <c r="L109" s="148"/>
      <c r="M109" s="148"/>
      <c r="N109" s="148"/>
      <c r="O109" s="148"/>
      <c r="P109" s="148"/>
    </row>
    <row r="110" spans="1:16" s="113" customFormat="1" ht="18.75">
      <c r="A110" s="506"/>
      <c r="B110" s="528" t="s">
        <v>1747</v>
      </c>
      <c r="C110" s="529"/>
      <c r="D110" s="530" t="s">
        <v>1121</v>
      </c>
      <c r="E110" s="506" t="s">
        <v>10</v>
      </c>
      <c r="F110" s="507">
        <v>1</v>
      </c>
      <c r="G110" s="315">
        <v>759800</v>
      </c>
      <c r="H110" s="319">
        <f t="shared" si="1"/>
        <v>759800</v>
      </c>
      <c r="I110" s="148"/>
      <c r="J110" s="148"/>
      <c r="K110" s="148"/>
      <c r="L110" s="148"/>
      <c r="M110" s="148"/>
      <c r="N110" s="148"/>
      <c r="O110" s="148"/>
      <c r="P110" s="148"/>
    </row>
    <row r="111" spans="1:16" s="113" customFormat="1" ht="18.75">
      <c r="A111" s="506"/>
      <c r="B111" s="528" t="s">
        <v>1748</v>
      </c>
      <c r="C111" s="529"/>
      <c r="D111" s="530" t="s">
        <v>1121</v>
      </c>
      <c r="E111" s="506" t="s">
        <v>10</v>
      </c>
      <c r="F111" s="507">
        <v>1</v>
      </c>
      <c r="G111" s="315">
        <v>451239.99999999994</v>
      </c>
      <c r="H111" s="319">
        <f t="shared" si="1"/>
        <v>451239.99999999994</v>
      </c>
      <c r="I111" s="148"/>
      <c r="J111" s="148"/>
      <c r="K111" s="148"/>
      <c r="L111" s="148"/>
      <c r="M111" s="148"/>
      <c r="N111" s="148"/>
      <c r="O111" s="148"/>
      <c r="P111" s="148"/>
    </row>
    <row r="112" spans="1:16" s="113" customFormat="1" ht="18.75">
      <c r="A112" s="506"/>
      <c r="B112" s="528" t="s">
        <v>1749</v>
      </c>
      <c r="C112" s="529"/>
      <c r="D112" s="530" t="s">
        <v>1121</v>
      </c>
      <c r="E112" s="506" t="s">
        <v>10</v>
      </c>
      <c r="F112" s="507">
        <v>1</v>
      </c>
      <c r="G112" s="315">
        <v>1026599.9999999999</v>
      </c>
      <c r="H112" s="319">
        <f t="shared" si="1"/>
        <v>1026599.9999999999</v>
      </c>
      <c r="I112" s="148"/>
      <c r="J112" s="148"/>
      <c r="K112" s="148"/>
      <c r="L112" s="148"/>
      <c r="M112" s="148"/>
      <c r="N112" s="148"/>
      <c r="O112" s="148"/>
      <c r="P112" s="148"/>
    </row>
    <row r="113" spans="1:16" s="113" customFormat="1" ht="18.75">
      <c r="A113" s="506"/>
      <c r="B113" s="528" t="s">
        <v>1750</v>
      </c>
      <c r="C113" s="529"/>
      <c r="D113" s="530" t="s">
        <v>1121</v>
      </c>
      <c r="E113" s="506" t="s">
        <v>10</v>
      </c>
      <c r="F113" s="507">
        <v>1</v>
      </c>
      <c r="G113" s="315">
        <v>597400</v>
      </c>
      <c r="H113" s="319">
        <f t="shared" si="1"/>
        <v>597400</v>
      </c>
      <c r="I113" s="148"/>
      <c r="J113" s="148"/>
      <c r="K113" s="148"/>
      <c r="L113" s="148"/>
      <c r="M113" s="148"/>
      <c r="N113" s="148"/>
      <c r="O113" s="148"/>
      <c r="P113" s="148"/>
    </row>
    <row r="114" spans="1:16" s="113" customFormat="1" ht="18.75">
      <c r="A114" s="509"/>
      <c r="B114" s="528" t="s">
        <v>1751</v>
      </c>
      <c r="C114" s="529"/>
      <c r="D114" s="533" t="s">
        <v>1121</v>
      </c>
      <c r="E114" s="506" t="s">
        <v>10</v>
      </c>
      <c r="F114" s="507">
        <v>1</v>
      </c>
      <c r="G114" s="315">
        <v>502279.99999999994</v>
      </c>
      <c r="H114" s="319">
        <f t="shared" si="1"/>
        <v>502279.99999999994</v>
      </c>
      <c r="I114" s="148"/>
      <c r="J114" s="148"/>
      <c r="K114" s="148"/>
      <c r="L114" s="148"/>
      <c r="M114" s="148"/>
      <c r="N114" s="148"/>
      <c r="O114" s="148"/>
      <c r="P114" s="148"/>
    </row>
    <row r="115" spans="1:16" s="113" customFormat="1" ht="18.75">
      <c r="A115" s="509"/>
      <c r="B115" s="528" t="s">
        <v>1752</v>
      </c>
      <c r="C115" s="529"/>
      <c r="D115" s="533" t="s">
        <v>1121</v>
      </c>
      <c r="E115" s="506" t="s">
        <v>10</v>
      </c>
      <c r="F115" s="507">
        <v>1</v>
      </c>
      <c r="G115" s="311">
        <v>15543999.999999998</v>
      </c>
      <c r="H115" s="319">
        <f t="shared" si="1"/>
        <v>15543999.999999998</v>
      </c>
      <c r="I115" s="148"/>
      <c r="J115" s="148"/>
      <c r="K115" s="148"/>
      <c r="L115" s="148"/>
      <c r="M115" s="148"/>
      <c r="N115" s="148"/>
      <c r="O115" s="148"/>
      <c r="P115" s="148"/>
    </row>
    <row r="116" spans="1:16" s="113" customFormat="1" ht="18.75">
      <c r="A116" s="509"/>
      <c r="B116" s="528" t="s">
        <v>1753</v>
      </c>
      <c r="C116" s="529"/>
      <c r="D116" s="533" t="s">
        <v>1121</v>
      </c>
      <c r="E116" s="506" t="s">
        <v>10</v>
      </c>
      <c r="F116" s="507">
        <v>2</v>
      </c>
      <c r="G116" s="311">
        <v>394449.99999999994</v>
      </c>
      <c r="H116" s="319">
        <f t="shared" si="1"/>
        <v>788899.99999999988</v>
      </c>
      <c r="I116" s="148"/>
      <c r="J116" s="148"/>
      <c r="K116" s="148"/>
      <c r="L116" s="148"/>
      <c r="M116" s="148"/>
      <c r="N116" s="148"/>
      <c r="O116" s="148"/>
      <c r="P116" s="148"/>
    </row>
    <row r="117" spans="1:16" s="113" customFormat="1" ht="18.75">
      <c r="A117" s="509"/>
      <c r="B117" s="528" t="s">
        <v>1754</v>
      </c>
      <c r="C117" s="529"/>
      <c r="D117" s="533" t="s">
        <v>1121</v>
      </c>
      <c r="E117" s="506" t="s">
        <v>10</v>
      </c>
      <c r="F117" s="507">
        <v>2</v>
      </c>
      <c r="G117" s="311">
        <v>205849.99999999997</v>
      </c>
      <c r="H117" s="319">
        <f t="shared" si="1"/>
        <v>411699.99999999994</v>
      </c>
      <c r="I117" s="148"/>
      <c r="J117" s="148"/>
      <c r="K117" s="148"/>
      <c r="L117" s="148"/>
      <c r="M117" s="148"/>
      <c r="N117" s="148"/>
      <c r="O117" s="148"/>
      <c r="P117" s="148"/>
    </row>
    <row r="118" spans="1:16" s="113" customFormat="1" ht="18.75">
      <c r="A118" s="509"/>
      <c r="B118" s="528" t="s">
        <v>1755</v>
      </c>
      <c r="C118" s="529"/>
      <c r="D118" s="530" t="s">
        <v>1121</v>
      </c>
      <c r="E118" s="506" t="s">
        <v>10</v>
      </c>
      <c r="F118" s="534">
        <v>2</v>
      </c>
      <c r="G118" s="315">
        <v>10373000</v>
      </c>
      <c r="H118" s="319">
        <f t="shared" si="1"/>
        <v>20746000</v>
      </c>
      <c r="I118" s="148"/>
      <c r="J118" s="148"/>
      <c r="K118" s="148"/>
      <c r="L118" s="148"/>
      <c r="M118" s="148"/>
      <c r="N118" s="148"/>
      <c r="O118" s="148"/>
      <c r="P118" s="148"/>
    </row>
    <row r="119" spans="1:16" s="113" customFormat="1" ht="18.75">
      <c r="A119" s="509"/>
      <c r="B119" s="528" t="s">
        <v>432</v>
      </c>
      <c r="C119" s="529"/>
      <c r="D119" s="530" t="s">
        <v>1121</v>
      </c>
      <c r="E119" s="506" t="s">
        <v>10</v>
      </c>
      <c r="F119" s="534">
        <v>2</v>
      </c>
      <c r="G119" s="315">
        <v>11002050</v>
      </c>
      <c r="H119" s="319">
        <f t="shared" si="1"/>
        <v>22004100</v>
      </c>
      <c r="I119" s="148"/>
      <c r="J119" s="148"/>
      <c r="K119" s="148"/>
      <c r="L119" s="148"/>
      <c r="M119" s="148"/>
      <c r="N119" s="148"/>
      <c r="O119" s="148"/>
      <c r="P119" s="148"/>
    </row>
    <row r="120" spans="1:16" s="113" customFormat="1" ht="18.75">
      <c r="A120" s="509"/>
      <c r="B120" s="528" t="s">
        <v>1756</v>
      </c>
      <c r="C120" s="529"/>
      <c r="D120" s="533" t="s">
        <v>1121</v>
      </c>
      <c r="E120" s="506" t="s">
        <v>10</v>
      </c>
      <c r="F120" s="507">
        <v>2</v>
      </c>
      <c r="G120" s="315">
        <v>342700</v>
      </c>
      <c r="H120" s="319">
        <f t="shared" si="1"/>
        <v>685400</v>
      </c>
      <c r="I120" s="148"/>
      <c r="J120" s="148"/>
      <c r="K120" s="148"/>
      <c r="L120" s="148"/>
      <c r="M120" s="148"/>
      <c r="N120" s="148"/>
      <c r="O120" s="148"/>
      <c r="P120" s="148"/>
    </row>
    <row r="121" spans="1:16" s="113" customFormat="1" ht="18.75">
      <c r="A121" s="509"/>
      <c r="B121" s="528" t="s">
        <v>1757</v>
      </c>
      <c r="C121" s="529"/>
      <c r="D121" s="533" t="s">
        <v>1121</v>
      </c>
      <c r="E121" s="506" t="s">
        <v>10</v>
      </c>
      <c r="F121" s="507">
        <v>1</v>
      </c>
      <c r="G121" s="315">
        <v>1106300</v>
      </c>
      <c r="H121" s="319">
        <f t="shared" si="1"/>
        <v>1106300</v>
      </c>
      <c r="I121" s="148"/>
      <c r="J121" s="148"/>
      <c r="K121" s="148"/>
      <c r="L121" s="148"/>
      <c r="M121" s="148"/>
      <c r="N121" s="148"/>
      <c r="O121" s="148"/>
      <c r="P121" s="148"/>
    </row>
    <row r="122" spans="1:16" s="113" customFormat="1" ht="18.75">
      <c r="A122" s="506" t="s">
        <v>139</v>
      </c>
      <c r="B122" s="528" t="s">
        <v>1758</v>
      </c>
      <c r="C122" s="529"/>
      <c r="D122" s="530" t="s">
        <v>1121</v>
      </c>
      <c r="E122" s="506" t="s">
        <v>10</v>
      </c>
      <c r="F122" s="534">
        <v>1</v>
      </c>
      <c r="G122" s="315">
        <v>4781520</v>
      </c>
      <c r="H122" s="319">
        <f t="shared" si="1"/>
        <v>4781520</v>
      </c>
      <c r="I122" s="148"/>
      <c r="J122" s="148"/>
      <c r="K122" s="148"/>
      <c r="L122" s="148"/>
      <c r="M122" s="148"/>
      <c r="N122" s="148"/>
      <c r="O122" s="148"/>
      <c r="P122" s="148"/>
    </row>
    <row r="123" spans="1:16" s="113" customFormat="1" ht="18.75">
      <c r="A123" s="509"/>
      <c r="B123" s="528" t="s">
        <v>1759</v>
      </c>
      <c r="C123" s="529"/>
      <c r="D123" s="530" t="s">
        <v>1121</v>
      </c>
      <c r="E123" s="506" t="s">
        <v>10</v>
      </c>
      <c r="F123" s="534">
        <v>1</v>
      </c>
      <c r="G123" s="315">
        <v>10029360</v>
      </c>
      <c r="H123" s="319">
        <f t="shared" si="1"/>
        <v>10029360</v>
      </c>
      <c r="I123" s="148"/>
      <c r="J123" s="148"/>
      <c r="K123" s="148"/>
      <c r="L123" s="148"/>
      <c r="M123" s="148"/>
      <c r="N123" s="148"/>
      <c r="O123" s="148"/>
      <c r="P123" s="148"/>
    </row>
    <row r="124" spans="1:16" s="113" customFormat="1" ht="18.75">
      <c r="A124" s="509"/>
      <c r="B124" s="528" t="s">
        <v>1760</v>
      </c>
      <c r="C124" s="529"/>
      <c r="D124" s="530" t="s">
        <v>1121</v>
      </c>
      <c r="E124" s="506" t="s">
        <v>10</v>
      </c>
      <c r="F124" s="534">
        <v>1</v>
      </c>
      <c r="G124" s="315">
        <v>14910639.999999998</v>
      </c>
      <c r="H124" s="319">
        <f t="shared" si="1"/>
        <v>14910639.999999998</v>
      </c>
      <c r="I124" s="148"/>
      <c r="J124" s="148"/>
      <c r="K124" s="148"/>
      <c r="L124" s="148"/>
      <c r="M124" s="148"/>
      <c r="N124" s="148"/>
      <c r="O124" s="148"/>
      <c r="P124" s="148"/>
    </row>
    <row r="125" spans="1:16" s="113" customFormat="1" ht="18.75">
      <c r="A125" s="509"/>
      <c r="B125" s="528" t="s">
        <v>1761</v>
      </c>
      <c r="C125" s="529"/>
      <c r="D125" s="530" t="s">
        <v>1121</v>
      </c>
      <c r="E125" s="506" t="s">
        <v>10</v>
      </c>
      <c r="F125" s="534">
        <v>1</v>
      </c>
      <c r="G125" s="315">
        <v>4746720</v>
      </c>
      <c r="H125" s="319">
        <f t="shared" si="1"/>
        <v>4746720</v>
      </c>
      <c r="I125" s="148"/>
      <c r="J125" s="148"/>
      <c r="K125" s="148"/>
      <c r="L125" s="148"/>
      <c r="M125" s="148"/>
      <c r="N125" s="148"/>
      <c r="O125" s="148"/>
      <c r="P125" s="148"/>
    </row>
    <row r="126" spans="1:16" s="113" customFormat="1" ht="78.75">
      <c r="A126" s="524" t="s">
        <v>1762</v>
      </c>
      <c r="B126" s="525" t="s">
        <v>1869</v>
      </c>
      <c r="C126" s="506"/>
      <c r="D126" s="506"/>
      <c r="E126" s="506" t="s">
        <v>10</v>
      </c>
      <c r="F126" s="507">
        <v>1</v>
      </c>
      <c r="G126" s="315">
        <v>15000000</v>
      </c>
      <c r="H126" s="319">
        <f t="shared" si="1"/>
        <v>15000000</v>
      </c>
      <c r="I126" s="148"/>
      <c r="J126" s="148"/>
      <c r="K126" s="148"/>
      <c r="L126" s="148"/>
      <c r="M126" s="148"/>
      <c r="N126" s="148"/>
      <c r="O126" s="148"/>
      <c r="P126" s="148"/>
    </row>
    <row r="127" spans="1:16" s="113" customFormat="1" ht="18.75">
      <c r="A127" s="506" t="s">
        <v>1656</v>
      </c>
      <c r="B127" s="508" t="s">
        <v>1763</v>
      </c>
      <c r="C127" s="509"/>
      <c r="D127" s="509"/>
      <c r="E127" s="506" t="s">
        <v>10</v>
      </c>
      <c r="F127" s="507">
        <v>1</v>
      </c>
      <c r="G127" s="315">
        <v>8500000</v>
      </c>
      <c r="H127" s="319">
        <f t="shared" si="1"/>
        <v>8500000</v>
      </c>
      <c r="I127" s="148"/>
      <c r="J127" s="148"/>
      <c r="K127" s="148"/>
      <c r="L127" s="148"/>
      <c r="M127" s="148"/>
      <c r="N127" s="148"/>
      <c r="O127" s="148"/>
      <c r="P127" s="148"/>
    </row>
    <row r="128" spans="1:16" s="113" customFormat="1" ht="78.75">
      <c r="A128" s="506" t="s">
        <v>1656</v>
      </c>
      <c r="B128" s="508" t="s">
        <v>1764</v>
      </c>
      <c r="C128" s="509"/>
      <c r="D128" s="509"/>
      <c r="E128" s="506" t="s">
        <v>10</v>
      </c>
      <c r="F128" s="507">
        <v>1</v>
      </c>
      <c r="G128" s="315">
        <v>2119000</v>
      </c>
      <c r="H128" s="319">
        <f t="shared" si="1"/>
        <v>2119000</v>
      </c>
      <c r="I128" s="148"/>
      <c r="J128" s="148"/>
      <c r="K128" s="148"/>
      <c r="L128" s="148"/>
      <c r="M128" s="148"/>
      <c r="N128" s="148"/>
      <c r="O128" s="148"/>
      <c r="P128" s="148"/>
    </row>
    <row r="129" spans="1:16" s="113" customFormat="1" ht="18.75">
      <c r="A129" s="504">
        <v>13</v>
      </c>
      <c r="B129" s="514" t="s">
        <v>1765</v>
      </c>
      <c r="C129" s="509"/>
      <c r="D129" s="509"/>
      <c r="E129" s="506" t="s">
        <v>1381</v>
      </c>
      <c r="F129" s="507">
        <v>1</v>
      </c>
      <c r="G129" s="314">
        <v>2250000</v>
      </c>
      <c r="H129" s="319">
        <f t="shared" si="1"/>
        <v>2250000</v>
      </c>
      <c r="I129" s="148"/>
      <c r="J129" s="148"/>
      <c r="K129" s="148"/>
      <c r="L129" s="148"/>
      <c r="M129" s="148"/>
      <c r="N129" s="148"/>
      <c r="O129" s="148"/>
      <c r="P129" s="148"/>
    </row>
    <row r="130" spans="1:16" s="134" customFormat="1" ht="31.5">
      <c r="A130" s="506" t="s">
        <v>1656</v>
      </c>
      <c r="B130" s="510" t="s">
        <v>1766</v>
      </c>
      <c r="C130" s="509"/>
      <c r="D130" s="509"/>
      <c r="E130" s="509"/>
      <c r="F130" s="509"/>
      <c r="G130" s="314"/>
      <c r="H130" s="319">
        <f t="shared" si="1"/>
        <v>0</v>
      </c>
      <c r="I130" s="277"/>
      <c r="J130" s="277"/>
      <c r="K130" s="277"/>
      <c r="L130" s="277"/>
      <c r="M130" s="277"/>
      <c r="N130" s="277"/>
      <c r="O130" s="277"/>
      <c r="P130" s="277"/>
    </row>
    <row r="131" spans="1:16" s="134" customFormat="1" ht="47.25">
      <c r="A131" s="506" t="s">
        <v>1656</v>
      </c>
      <c r="B131" s="510" t="s">
        <v>1767</v>
      </c>
      <c r="C131" s="509"/>
      <c r="D131" s="509"/>
      <c r="E131" s="509"/>
      <c r="F131" s="509"/>
      <c r="G131" s="314"/>
      <c r="H131" s="319">
        <f t="shared" si="1"/>
        <v>0</v>
      </c>
      <c r="I131" s="277"/>
      <c r="J131" s="277"/>
      <c r="K131" s="277"/>
      <c r="L131" s="277"/>
      <c r="M131" s="277"/>
      <c r="N131" s="277"/>
      <c r="O131" s="277"/>
      <c r="P131" s="277"/>
    </row>
    <row r="132" spans="1:16" s="134" customFormat="1" ht="31.5">
      <c r="A132" s="512"/>
      <c r="B132" s="513" t="s">
        <v>1768</v>
      </c>
      <c r="C132" s="512" t="s">
        <v>1769</v>
      </c>
      <c r="D132" s="506" t="s">
        <v>39</v>
      </c>
      <c r="E132" s="506" t="s">
        <v>44</v>
      </c>
      <c r="F132" s="507">
        <v>8.32</v>
      </c>
      <c r="G132" s="316">
        <v>275000</v>
      </c>
      <c r="H132" s="319">
        <f t="shared" si="1"/>
        <v>2288000</v>
      </c>
      <c r="I132" s="277"/>
      <c r="J132" s="277"/>
      <c r="K132" s="277"/>
      <c r="L132" s="277"/>
      <c r="M132" s="277"/>
      <c r="N132" s="277"/>
      <c r="O132" s="277"/>
      <c r="P132" s="277"/>
    </row>
    <row r="133" spans="1:16" s="134" customFormat="1" ht="18.75">
      <c r="A133" s="512"/>
      <c r="B133" s="513" t="s">
        <v>1201</v>
      </c>
      <c r="C133" s="512" t="s">
        <v>846</v>
      </c>
      <c r="D133" s="512" t="s">
        <v>847</v>
      </c>
      <c r="E133" s="506" t="s">
        <v>44</v>
      </c>
      <c r="F133" s="507">
        <v>0.3</v>
      </c>
      <c r="G133" s="316">
        <v>531000</v>
      </c>
      <c r="H133" s="319">
        <f t="shared" si="1"/>
        <v>159300</v>
      </c>
      <c r="I133" s="277"/>
      <c r="J133" s="277"/>
      <c r="K133" s="277"/>
      <c r="L133" s="277"/>
      <c r="M133" s="277"/>
      <c r="N133" s="277"/>
      <c r="O133" s="277"/>
      <c r="P133" s="277"/>
    </row>
    <row r="134" spans="1:16" s="134" customFormat="1" ht="31.5">
      <c r="A134" s="512"/>
      <c r="B134" s="513" t="s">
        <v>1662</v>
      </c>
      <c r="C134" s="512"/>
      <c r="D134" s="506" t="s">
        <v>39</v>
      </c>
      <c r="E134" s="506" t="s">
        <v>59</v>
      </c>
      <c r="F134" s="507">
        <v>0.2</v>
      </c>
      <c r="G134" s="316">
        <v>251000</v>
      </c>
      <c r="H134" s="319">
        <f t="shared" si="1"/>
        <v>50200</v>
      </c>
      <c r="I134" s="277"/>
      <c r="J134" s="277"/>
      <c r="K134" s="277"/>
      <c r="L134" s="277"/>
      <c r="M134" s="277"/>
      <c r="N134" s="277"/>
      <c r="O134" s="277"/>
      <c r="P134" s="277"/>
    </row>
    <row r="135" spans="1:16" s="134" customFormat="1" ht="31.5">
      <c r="A135" s="512"/>
      <c r="B135" s="513" t="s">
        <v>1024</v>
      </c>
      <c r="C135" s="512" t="s">
        <v>1663</v>
      </c>
      <c r="D135" s="506" t="s">
        <v>39</v>
      </c>
      <c r="E135" s="506" t="s">
        <v>292</v>
      </c>
      <c r="F135" s="507">
        <v>2</v>
      </c>
      <c r="G135" s="316">
        <v>26000</v>
      </c>
      <c r="H135" s="319">
        <f t="shared" si="1"/>
        <v>52000</v>
      </c>
      <c r="I135" s="277"/>
      <c r="J135" s="277"/>
      <c r="K135" s="277"/>
      <c r="L135" s="277"/>
      <c r="M135" s="277"/>
      <c r="N135" s="277"/>
      <c r="O135" s="277"/>
      <c r="P135" s="277"/>
    </row>
    <row r="136" spans="1:16" s="134" customFormat="1" ht="31.5">
      <c r="A136" s="512"/>
      <c r="B136" s="513" t="s">
        <v>1770</v>
      </c>
      <c r="C136" s="512" t="s">
        <v>1663</v>
      </c>
      <c r="D136" s="506" t="s">
        <v>39</v>
      </c>
      <c r="E136" s="506" t="s">
        <v>292</v>
      </c>
      <c r="F136" s="507">
        <v>2</v>
      </c>
      <c r="G136" s="316">
        <v>37000</v>
      </c>
      <c r="H136" s="319">
        <f t="shared" si="1"/>
        <v>74000</v>
      </c>
      <c r="I136" s="277"/>
      <c r="J136" s="277"/>
      <c r="K136" s="277"/>
      <c r="L136" s="277"/>
      <c r="M136" s="277"/>
      <c r="N136" s="277"/>
      <c r="O136" s="277"/>
      <c r="P136" s="277"/>
    </row>
    <row r="137" spans="1:16" s="134" customFormat="1" ht="18.75">
      <c r="A137" s="504">
        <v>14</v>
      </c>
      <c r="B137" s="517" t="s">
        <v>1771</v>
      </c>
      <c r="C137" s="509"/>
      <c r="D137" s="509"/>
      <c r="E137" s="509"/>
      <c r="F137" s="509"/>
      <c r="G137" s="314"/>
      <c r="H137" s="319">
        <f t="shared" si="1"/>
        <v>0</v>
      </c>
      <c r="I137" s="277"/>
      <c r="J137" s="277"/>
      <c r="K137" s="277"/>
      <c r="L137" s="277"/>
      <c r="M137" s="277"/>
      <c r="N137" s="277"/>
      <c r="O137" s="277"/>
      <c r="P137" s="277"/>
    </row>
    <row r="138" spans="1:16" s="134" customFormat="1" ht="18.75">
      <c r="A138" s="506" t="s">
        <v>1656</v>
      </c>
      <c r="B138" s="535" t="s">
        <v>1772</v>
      </c>
      <c r="C138" s="509"/>
      <c r="D138" s="509"/>
      <c r="E138" s="531" t="s">
        <v>32</v>
      </c>
      <c r="F138" s="507">
        <v>2</v>
      </c>
      <c r="G138" s="314">
        <v>706000</v>
      </c>
      <c r="H138" s="319">
        <f t="shared" si="1"/>
        <v>1412000</v>
      </c>
      <c r="I138" s="277"/>
      <c r="J138" s="277"/>
      <c r="K138" s="277"/>
      <c r="L138" s="277"/>
      <c r="M138" s="277"/>
      <c r="N138" s="277"/>
      <c r="O138" s="277"/>
      <c r="P138" s="277"/>
    </row>
    <row r="139" spans="1:16" s="134" customFormat="1" ht="31.5">
      <c r="A139" s="509"/>
      <c r="B139" s="513" t="s">
        <v>1773</v>
      </c>
      <c r="C139" s="512" t="s">
        <v>1774</v>
      </c>
      <c r="D139" s="506" t="s">
        <v>39</v>
      </c>
      <c r="E139" s="506" t="s">
        <v>63</v>
      </c>
      <c r="F139" s="507">
        <v>5</v>
      </c>
      <c r="G139" s="316">
        <v>268000</v>
      </c>
      <c r="H139" s="319">
        <f t="shared" ref="H139:H189" si="2">F139*G139</f>
        <v>1340000</v>
      </c>
      <c r="I139" s="277"/>
      <c r="J139" s="277"/>
      <c r="K139" s="277"/>
      <c r="L139" s="277"/>
      <c r="M139" s="277"/>
      <c r="N139" s="277"/>
      <c r="O139" s="277"/>
      <c r="P139" s="277"/>
    </row>
    <row r="140" spans="1:16" s="134" customFormat="1" ht="18.75">
      <c r="A140" s="504">
        <v>15</v>
      </c>
      <c r="B140" s="517" t="s">
        <v>1775</v>
      </c>
      <c r="C140" s="509"/>
      <c r="D140" s="509"/>
      <c r="E140" s="509"/>
      <c r="F140" s="509"/>
      <c r="G140" s="314"/>
      <c r="H140" s="319">
        <f t="shared" si="2"/>
        <v>0</v>
      </c>
      <c r="I140" s="277"/>
      <c r="J140" s="277"/>
      <c r="K140" s="277"/>
      <c r="L140" s="277"/>
      <c r="M140" s="277"/>
      <c r="N140" s="277"/>
      <c r="O140" s="277"/>
      <c r="P140" s="277"/>
    </row>
    <row r="141" spans="1:16" s="134" customFormat="1" ht="18.75">
      <c r="A141" s="506" t="s">
        <v>1656</v>
      </c>
      <c r="B141" s="535" t="s">
        <v>1772</v>
      </c>
      <c r="C141" s="509"/>
      <c r="D141" s="509"/>
      <c r="E141" s="531" t="s">
        <v>32</v>
      </c>
      <c r="F141" s="507">
        <v>2</v>
      </c>
      <c r="G141" s="314">
        <v>706000</v>
      </c>
      <c r="H141" s="319">
        <f t="shared" si="2"/>
        <v>1412000</v>
      </c>
      <c r="I141" s="277"/>
      <c r="J141" s="277"/>
      <c r="K141" s="277"/>
      <c r="L141" s="277"/>
      <c r="M141" s="277"/>
      <c r="N141" s="277"/>
      <c r="O141" s="277"/>
      <c r="P141" s="277"/>
    </row>
    <row r="142" spans="1:16" s="134" customFormat="1" ht="31.5">
      <c r="A142" s="509"/>
      <c r="B142" s="513" t="s">
        <v>1773</v>
      </c>
      <c r="C142" s="512" t="s">
        <v>1774</v>
      </c>
      <c r="D142" s="506" t="s">
        <v>39</v>
      </c>
      <c r="E142" s="506" t="s">
        <v>63</v>
      </c>
      <c r="F142" s="507">
        <v>5</v>
      </c>
      <c r="G142" s="316">
        <v>268000</v>
      </c>
      <c r="H142" s="319">
        <f t="shared" si="2"/>
        <v>1340000</v>
      </c>
      <c r="I142" s="277"/>
      <c r="J142" s="277"/>
      <c r="K142" s="277"/>
      <c r="L142" s="277"/>
      <c r="M142" s="277"/>
      <c r="N142" s="277"/>
      <c r="O142" s="277"/>
      <c r="P142" s="277"/>
    </row>
    <row r="143" spans="1:16" s="134" customFormat="1" ht="18.75">
      <c r="A143" s="504">
        <v>16</v>
      </c>
      <c r="B143" s="517" t="s">
        <v>1776</v>
      </c>
      <c r="C143" s="509"/>
      <c r="D143" s="509"/>
      <c r="E143" s="509"/>
      <c r="F143" s="509"/>
      <c r="G143" s="314"/>
      <c r="H143" s="319">
        <f t="shared" si="2"/>
        <v>0</v>
      </c>
      <c r="I143" s="277"/>
      <c r="J143" s="277"/>
      <c r="K143" s="277"/>
      <c r="L143" s="277"/>
      <c r="M143" s="277"/>
      <c r="N143" s="277"/>
      <c r="O143" s="277"/>
      <c r="P143" s="277"/>
    </row>
    <row r="144" spans="1:16" s="134" customFormat="1" ht="31.5">
      <c r="A144" s="506" t="s">
        <v>1656</v>
      </c>
      <c r="B144" s="535" t="s">
        <v>1777</v>
      </c>
      <c r="C144" s="509"/>
      <c r="D144" s="509"/>
      <c r="E144" s="506" t="s">
        <v>1778</v>
      </c>
      <c r="F144" s="507">
        <v>2</v>
      </c>
      <c r="G144" s="314">
        <v>250000</v>
      </c>
      <c r="H144" s="319">
        <f t="shared" si="2"/>
        <v>500000</v>
      </c>
      <c r="I144" s="277"/>
      <c r="J144" s="277"/>
      <c r="K144" s="277"/>
      <c r="L144" s="277"/>
      <c r="M144" s="277"/>
      <c r="N144" s="277"/>
      <c r="O144" s="277"/>
      <c r="P144" s="277"/>
    </row>
    <row r="145" spans="1:16" s="134" customFormat="1" ht="31.5">
      <c r="A145" s="512"/>
      <c r="B145" s="513" t="s">
        <v>1779</v>
      </c>
      <c r="C145" s="512" t="s">
        <v>1780</v>
      </c>
      <c r="D145" s="506" t="s">
        <v>39</v>
      </c>
      <c r="E145" s="506" t="s">
        <v>63</v>
      </c>
      <c r="F145" s="507">
        <v>1.2</v>
      </c>
      <c r="G145" s="316">
        <v>650000</v>
      </c>
      <c r="H145" s="319">
        <f t="shared" si="2"/>
        <v>780000</v>
      </c>
      <c r="I145" s="277"/>
      <c r="J145" s="277"/>
      <c r="K145" s="277"/>
      <c r="L145" s="277"/>
      <c r="M145" s="277"/>
      <c r="N145" s="277"/>
      <c r="O145" s="277"/>
      <c r="P145" s="277"/>
    </row>
    <row r="146" spans="1:16" s="134" customFormat="1" ht="18.75">
      <c r="A146" s="512"/>
      <c r="B146" s="513" t="s">
        <v>1201</v>
      </c>
      <c r="C146" s="512" t="s">
        <v>846</v>
      </c>
      <c r="D146" s="512" t="s">
        <v>847</v>
      </c>
      <c r="E146" s="506" t="s">
        <v>44</v>
      </c>
      <c r="F146" s="507">
        <v>0.2</v>
      </c>
      <c r="G146" s="316">
        <v>531000</v>
      </c>
      <c r="H146" s="319">
        <f t="shared" si="2"/>
        <v>106200</v>
      </c>
      <c r="I146" s="277"/>
      <c r="J146" s="277"/>
      <c r="K146" s="277"/>
      <c r="L146" s="277"/>
      <c r="M146" s="277"/>
      <c r="N146" s="277"/>
      <c r="O146" s="277"/>
      <c r="P146" s="277"/>
    </row>
    <row r="147" spans="1:16" s="134" customFormat="1" ht="31.5">
      <c r="A147" s="512"/>
      <c r="B147" s="513" t="s">
        <v>1662</v>
      </c>
      <c r="C147" s="512"/>
      <c r="D147" s="506" t="s">
        <v>39</v>
      </c>
      <c r="E147" s="506" t="s">
        <v>59</v>
      </c>
      <c r="F147" s="507">
        <v>0.1</v>
      </c>
      <c r="G147" s="316">
        <v>251000</v>
      </c>
      <c r="H147" s="319">
        <f t="shared" si="2"/>
        <v>25100</v>
      </c>
      <c r="I147" s="277"/>
      <c r="J147" s="277"/>
      <c r="K147" s="277"/>
      <c r="L147" s="277"/>
      <c r="M147" s="277"/>
      <c r="N147" s="277"/>
      <c r="O147" s="277"/>
      <c r="P147" s="277"/>
    </row>
    <row r="148" spans="1:16" s="134" customFormat="1" ht="31.5">
      <c r="A148" s="512"/>
      <c r="B148" s="513" t="s">
        <v>1024</v>
      </c>
      <c r="C148" s="512" t="s">
        <v>1663</v>
      </c>
      <c r="D148" s="506" t="s">
        <v>39</v>
      </c>
      <c r="E148" s="506" t="s">
        <v>292</v>
      </c>
      <c r="F148" s="507">
        <v>1</v>
      </c>
      <c r="G148" s="316">
        <v>26000</v>
      </c>
      <c r="H148" s="319">
        <f t="shared" si="2"/>
        <v>26000</v>
      </c>
      <c r="I148" s="277"/>
      <c r="J148" s="277"/>
      <c r="K148" s="277"/>
      <c r="L148" s="277"/>
      <c r="M148" s="277"/>
      <c r="N148" s="277"/>
      <c r="O148" s="277"/>
      <c r="P148" s="277"/>
    </row>
    <row r="149" spans="1:16" s="134" customFormat="1" ht="31.5">
      <c r="A149" s="512"/>
      <c r="B149" s="513" t="s">
        <v>1770</v>
      </c>
      <c r="C149" s="512" t="s">
        <v>1663</v>
      </c>
      <c r="D149" s="506" t="s">
        <v>39</v>
      </c>
      <c r="E149" s="506" t="s">
        <v>292</v>
      </c>
      <c r="F149" s="507">
        <v>1</v>
      </c>
      <c r="G149" s="316">
        <v>37000</v>
      </c>
      <c r="H149" s="319">
        <f t="shared" si="2"/>
        <v>37000</v>
      </c>
      <c r="I149" s="277"/>
      <c r="J149" s="277"/>
      <c r="K149" s="277"/>
      <c r="L149" s="277"/>
      <c r="M149" s="277"/>
      <c r="N149" s="277"/>
      <c r="O149" s="277"/>
      <c r="P149" s="277"/>
    </row>
    <row r="150" spans="1:16" s="134" customFormat="1" ht="18.75">
      <c r="A150" s="504">
        <v>17</v>
      </c>
      <c r="B150" s="517" t="s">
        <v>1781</v>
      </c>
      <c r="C150" s="509"/>
      <c r="D150" s="509"/>
      <c r="E150" s="509"/>
      <c r="F150" s="509"/>
      <c r="G150" s="314"/>
      <c r="H150" s="319">
        <f t="shared" si="2"/>
        <v>0</v>
      </c>
      <c r="I150" s="277"/>
      <c r="J150" s="277"/>
      <c r="K150" s="277"/>
      <c r="L150" s="277"/>
      <c r="M150" s="277"/>
      <c r="N150" s="277"/>
      <c r="O150" s="277"/>
      <c r="P150" s="277"/>
    </row>
    <row r="151" spans="1:16" s="134" customFormat="1" ht="31.5">
      <c r="A151" s="506" t="s">
        <v>1656</v>
      </c>
      <c r="B151" s="535" t="s">
        <v>1782</v>
      </c>
      <c r="C151" s="509"/>
      <c r="D151" s="509"/>
      <c r="E151" s="506" t="s">
        <v>10</v>
      </c>
      <c r="F151" s="507">
        <v>4</v>
      </c>
      <c r="G151" s="314">
        <v>250000</v>
      </c>
      <c r="H151" s="319">
        <f t="shared" si="2"/>
        <v>1000000</v>
      </c>
      <c r="I151" s="277"/>
      <c r="J151" s="277"/>
      <c r="K151" s="277"/>
      <c r="L151" s="277"/>
      <c r="M151" s="277"/>
      <c r="N151" s="277"/>
      <c r="O151" s="277"/>
      <c r="P151" s="277"/>
    </row>
    <row r="152" spans="1:16" s="134" customFormat="1" ht="31.5">
      <c r="A152" s="512"/>
      <c r="B152" s="513" t="s">
        <v>1768</v>
      </c>
      <c r="C152" s="512" t="s">
        <v>206</v>
      </c>
      <c r="D152" s="506" t="s">
        <v>39</v>
      </c>
      <c r="E152" s="506" t="s">
        <v>44</v>
      </c>
      <c r="F152" s="507">
        <v>1.21</v>
      </c>
      <c r="G152" s="316">
        <v>275000</v>
      </c>
      <c r="H152" s="319">
        <f t="shared" si="2"/>
        <v>332750</v>
      </c>
      <c r="I152" s="277"/>
      <c r="J152" s="277"/>
      <c r="K152" s="277"/>
      <c r="L152" s="277"/>
      <c r="M152" s="277"/>
      <c r="N152" s="277"/>
      <c r="O152" s="277"/>
      <c r="P152" s="277"/>
    </row>
    <row r="153" spans="1:16" s="134" customFormat="1" ht="18.75">
      <c r="A153" s="512"/>
      <c r="B153" s="513" t="s">
        <v>1201</v>
      </c>
      <c r="C153" s="512" t="s">
        <v>846</v>
      </c>
      <c r="D153" s="512" t="s">
        <v>847</v>
      </c>
      <c r="E153" s="506" t="s">
        <v>44</v>
      </c>
      <c r="F153" s="507">
        <v>0.04</v>
      </c>
      <c r="G153" s="316">
        <v>531000</v>
      </c>
      <c r="H153" s="319">
        <f t="shared" si="2"/>
        <v>21240</v>
      </c>
      <c r="I153" s="277"/>
      <c r="J153" s="277"/>
      <c r="K153" s="277"/>
      <c r="L153" s="277"/>
      <c r="M153" s="277"/>
      <c r="N153" s="277"/>
      <c r="O153" s="277"/>
      <c r="P153" s="277"/>
    </row>
    <row r="154" spans="1:16" s="134" customFormat="1" ht="31.5">
      <c r="A154" s="512"/>
      <c r="B154" s="513" t="s">
        <v>1662</v>
      </c>
      <c r="C154" s="512"/>
      <c r="D154" s="506" t="s">
        <v>39</v>
      </c>
      <c r="E154" s="506" t="s">
        <v>59</v>
      </c>
      <c r="F154" s="507">
        <v>0.03</v>
      </c>
      <c r="G154" s="316">
        <v>251000</v>
      </c>
      <c r="H154" s="319">
        <f t="shared" si="2"/>
        <v>7530</v>
      </c>
      <c r="I154" s="277"/>
      <c r="J154" s="277"/>
      <c r="K154" s="277"/>
      <c r="L154" s="277"/>
      <c r="M154" s="277"/>
      <c r="N154" s="277"/>
      <c r="O154" s="277"/>
      <c r="P154" s="277"/>
    </row>
    <row r="155" spans="1:16" s="134" customFormat="1" ht="31.5">
      <c r="A155" s="512"/>
      <c r="B155" s="513" t="s">
        <v>1024</v>
      </c>
      <c r="C155" s="512" t="s">
        <v>1663</v>
      </c>
      <c r="D155" s="506" t="s">
        <v>39</v>
      </c>
      <c r="E155" s="506" t="s">
        <v>292</v>
      </c>
      <c r="F155" s="507">
        <v>1</v>
      </c>
      <c r="G155" s="316">
        <v>26000</v>
      </c>
      <c r="H155" s="319">
        <f t="shared" si="2"/>
        <v>26000</v>
      </c>
      <c r="I155" s="277"/>
      <c r="J155" s="277"/>
      <c r="K155" s="277"/>
      <c r="L155" s="277"/>
      <c r="M155" s="277"/>
      <c r="N155" s="277"/>
      <c r="O155" s="277"/>
      <c r="P155" s="277"/>
    </row>
    <row r="156" spans="1:16" s="134" customFormat="1" ht="31.5">
      <c r="A156" s="512"/>
      <c r="B156" s="513" t="s">
        <v>1770</v>
      </c>
      <c r="C156" s="512" t="s">
        <v>1663</v>
      </c>
      <c r="D156" s="506" t="s">
        <v>39</v>
      </c>
      <c r="E156" s="506" t="s">
        <v>292</v>
      </c>
      <c r="F156" s="507">
        <v>1</v>
      </c>
      <c r="G156" s="316">
        <v>37000</v>
      </c>
      <c r="H156" s="319">
        <f t="shared" si="2"/>
        <v>37000</v>
      </c>
      <c r="I156" s="277"/>
      <c r="J156" s="277"/>
      <c r="K156" s="277"/>
      <c r="L156" s="277"/>
      <c r="M156" s="277"/>
      <c r="N156" s="277"/>
      <c r="O156" s="277"/>
      <c r="P156" s="277"/>
    </row>
    <row r="157" spans="1:16" s="134" customFormat="1" ht="18.75">
      <c r="A157" s="504">
        <v>18</v>
      </c>
      <c r="B157" s="517" t="s">
        <v>1783</v>
      </c>
      <c r="C157" s="509"/>
      <c r="D157" s="509"/>
      <c r="E157" s="506" t="s">
        <v>1381</v>
      </c>
      <c r="F157" s="507">
        <v>1</v>
      </c>
      <c r="G157" s="314">
        <v>1500000</v>
      </c>
      <c r="H157" s="319">
        <f t="shared" si="2"/>
        <v>1500000</v>
      </c>
      <c r="I157" s="277"/>
      <c r="J157" s="277"/>
      <c r="K157" s="277"/>
      <c r="L157" s="277"/>
      <c r="M157" s="277"/>
      <c r="N157" s="277"/>
      <c r="O157" s="277"/>
      <c r="P157" s="277"/>
    </row>
    <row r="158" spans="1:16" s="113" customFormat="1" ht="31.5">
      <c r="A158" s="506" t="s">
        <v>1656</v>
      </c>
      <c r="B158" s="510" t="s">
        <v>1784</v>
      </c>
      <c r="C158" s="509"/>
      <c r="D158" s="509"/>
      <c r="E158" s="509"/>
      <c r="F158" s="509"/>
      <c r="G158" s="314"/>
      <c r="H158" s="319">
        <f t="shared" si="2"/>
        <v>0</v>
      </c>
      <c r="I158" s="148"/>
      <c r="J158" s="148"/>
      <c r="K158" s="148"/>
      <c r="L158" s="148"/>
      <c r="M158" s="148"/>
      <c r="N158" s="148"/>
      <c r="O158" s="148"/>
      <c r="P158" s="148"/>
    </row>
    <row r="159" spans="1:16" s="127" customFormat="1" ht="31.5">
      <c r="A159" s="506" t="s">
        <v>1656</v>
      </c>
      <c r="B159" s="513" t="s">
        <v>1785</v>
      </c>
      <c r="C159" s="509"/>
      <c r="D159" s="509"/>
      <c r="E159" s="509"/>
      <c r="F159" s="509"/>
      <c r="G159" s="318"/>
      <c r="H159" s="319">
        <f t="shared" si="2"/>
        <v>0</v>
      </c>
      <c r="I159" s="228"/>
      <c r="J159" s="228"/>
      <c r="K159" s="228"/>
      <c r="L159" s="228"/>
      <c r="M159" s="228"/>
      <c r="N159" s="228"/>
      <c r="O159" s="228"/>
      <c r="P159" s="228"/>
    </row>
    <row r="160" spans="1:16" s="113" customFormat="1" ht="31.5">
      <c r="A160" s="512"/>
      <c r="B160" s="513" t="s">
        <v>1786</v>
      </c>
      <c r="C160" s="512" t="s">
        <v>206</v>
      </c>
      <c r="D160" s="506" t="s">
        <v>39</v>
      </c>
      <c r="E160" s="506" t="s">
        <v>44</v>
      </c>
      <c r="F160" s="507">
        <v>0.32</v>
      </c>
      <c r="G160" s="316">
        <v>275000</v>
      </c>
      <c r="H160" s="319">
        <f t="shared" si="2"/>
        <v>88000</v>
      </c>
      <c r="I160" s="148"/>
      <c r="J160" s="148"/>
      <c r="K160" s="148"/>
      <c r="L160" s="148"/>
      <c r="M160" s="148"/>
      <c r="N160" s="148"/>
      <c r="O160" s="148"/>
      <c r="P160" s="148"/>
    </row>
    <row r="161" spans="1:16" s="113" customFormat="1" ht="18.75">
      <c r="A161" s="512"/>
      <c r="B161" s="513" t="s">
        <v>1201</v>
      </c>
      <c r="C161" s="512" t="s">
        <v>846</v>
      </c>
      <c r="D161" s="512" t="s">
        <v>847</v>
      </c>
      <c r="E161" s="506" t="s">
        <v>44</v>
      </c>
      <c r="F161" s="507">
        <v>0.04</v>
      </c>
      <c r="G161" s="316">
        <v>531000</v>
      </c>
      <c r="H161" s="319">
        <f t="shared" si="2"/>
        <v>21240</v>
      </c>
      <c r="I161" s="148"/>
      <c r="J161" s="148"/>
      <c r="K161" s="148"/>
      <c r="L161" s="148"/>
      <c r="M161" s="148"/>
      <c r="N161" s="148"/>
      <c r="O161" s="148"/>
      <c r="P161" s="148"/>
    </row>
    <row r="162" spans="1:16" s="113" customFormat="1" ht="31.5">
      <c r="A162" s="512"/>
      <c r="B162" s="513" t="s">
        <v>1662</v>
      </c>
      <c r="C162" s="512"/>
      <c r="D162" s="506" t="s">
        <v>39</v>
      </c>
      <c r="E162" s="506" t="s">
        <v>59</v>
      </c>
      <c r="F162" s="507">
        <v>0.03</v>
      </c>
      <c r="G162" s="316">
        <v>251000</v>
      </c>
      <c r="H162" s="319">
        <f t="shared" si="2"/>
        <v>7530</v>
      </c>
      <c r="I162" s="148"/>
      <c r="J162" s="148"/>
      <c r="K162" s="148"/>
      <c r="L162" s="148"/>
      <c r="M162" s="148"/>
      <c r="N162" s="148"/>
      <c r="O162" s="148"/>
      <c r="P162" s="148"/>
    </row>
    <row r="163" spans="1:16" s="124" customFormat="1" ht="31.5">
      <c r="A163" s="512"/>
      <c r="B163" s="513" t="s">
        <v>1024</v>
      </c>
      <c r="C163" s="512" t="s">
        <v>1663</v>
      </c>
      <c r="D163" s="506" t="s">
        <v>39</v>
      </c>
      <c r="E163" s="506" t="s">
        <v>292</v>
      </c>
      <c r="F163" s="507">
        <v>1</v>
      </c>
      <c r="G163" s="316">
        <v>26000</v>
      </c>
      <c r="H163" s="319">
        <f t="shared" si="2"/>
        <v>26000</v>
      </c>
      <c r="I163" s="211"/>
      <c r="J163" s="211"/>
      <c r="K163" s="211"/>
      <c r="L163" s="211"/>
      <c r="M163" s="211"/>
      <c r="N163" s="211"/>
      <c r="O163" s="211"/>
      <c r="P163" s="211"/>
    </row>
    <row r="164" spans="1:16" s="115" customFormat="1" ht="31.5">
      <c r="A164" s="512"/>
      <c r="B164" s="513" t="s">
        <v>1770</v>
      </c>
      <c r="C164" s="512" t="s">
        <v>1663</v>
      </c>
      <c r="D164" s="506" t="s">
        <v>39</v>
      </c>
      <c r="E164" s="506" t="s">
        <v>292</v>
      </c>
      <c r="F164" s="507">
        <v>1</v>
      </c>
      <c r="G164" s="316">
        <v>37000</v>
      </c>
      <c r="H164" s="319">
        <f t="shared" si="2"/>
        <v>37000</v>
      </c>
      <c r="I164" s="155"/>
      <c r="J164" s="155"/>
      <c r="K164" s="155"/>
      <c r="L164" s="155"/>
      <c r="M164" s="155"/>
      <c r="N164" s="155"/>
      <c r="O164" s="155"/>
      <c r="P164" s="155"/>
    </row>
    <row r="165" spans="1:16" s="115" customFormat="1" ht="31.5">
      <c r="A165" s="504">
        <v>19</v>
      </c>
      <c r="B165" s="518" t="s">
        <v>1870</v>
      </c>
      <c r="C165" s="509"/>
      <c r="D165" s="509"/>
      <c r="E165" s="509"/>
      <c r="F165" s="509"/>
      <c r="G165" s="318"/>
      <c r="H165" s="319">
        <f t="shared" si="2"/>
        <v>0</v>
      </c>
      <c r="I165" s="155"/>
      <c r="J165" s="155"/>
      <c r="K165" s="155"/>
      <c r="L165" s="155"/>
      <c r="M165" s="155"/>
      <c r="N165" s="155"/>
      <c r="O165" s="155"/>
      <c r="P165" s="155"/>
    </row>
    <row r="166" spans="1:16" s="115" customFormat="1" ht="18.75">
      <c r="A166" s="509"/>
      <c r="B166" s="513" t="s">
        <v>932</v>
      </c>
      <c r="C166" s="506" t="s">
        <v>1787</v>
      </c>
      <c r="D166" s="506" t="s">
        <v>312</v>
      </c>
      <c r="E166" s="506" t="s">
        <v>10</v>
      </c>
      <c r="F166" s="507">
        <v>4</v>
      </c>
      <c r="G166" s="316">
        <v>220000</v>
      </c>
      <c r="H166" s="319">
        <f t="shared" si="2"/>
        <v>880000</v>
      </c>
      <c r="I166" s="155"/>
      <c r="J166" s="155"/>
      <c r="K166" s="155"/>
      <c r="L166" s="155"/>
      <c r="M166" s="155"/>
      <c r="N166" s="155"/>
      <c r="O166" s="155"/>
      <c r="P166" s="155"/>
    </row>
    <row r="167" spans="1:16" s="124" customFormat="1" ht="18.75">
      <c r="A167" s="512"/>
      <c r="B167" s="513" t="s">
        <v>1788</v>
      </c>
      <c r="C167" s="512" t="s">
        <v>1789</v>
      </c>
      <c r="D167" s="512" t="s">
        <v>39</v>
      </c>
      <c r="E167" s="506" t="s">
        <v>40</v>
      </c>
      <c r="F167" s="507">
        <v>4</v>
      </c>
      <c r="G167" s="316">
        <v>61000</v>
      </c>
      <c r="H167" s="319">
        <f t="shared" si="2"/>
        <v>244000</v>
      </c>
      <c r="I167" s="211"/>
      <c r="J167" s="211"/>
      <c r="K167" s="211"/>
      <c r="L167" s="211"/>
      <c r="M167" s="211"/>
      <c r="N167" s="211"/>
      <c r="O167" s="211"/>
      <c r="P167" s="211"/>
    </row>
    <row r="168" spans="1:16" s="115" customFormat="1" ht="18.75">
      <c r="A168" s="512"/>
      <c r="B168" s="513" t="s">
        <v>278</v>
      </c>
      <c r="C168" s="512" t="s">
        <v>845</v>
      </c>
      <c r="D168" s="512" t="s">
        <v>39</v>
      </c>
      <c r="E168" s="531" t="s">
        <v>32</v>
      </c>
      <c r="F168" s="507">
        <v>10</v>
      </c>
      <c r="G168" s="316">
        <v>10000</v>
      </c>
      <c r="H168" s="319">
        <f t="shared" si="2"/>
        <v>100000</v>
      </c>
      <c r="I168" s="155"/>
      <c r="J168" s="155"/>
      <c r="K168" s="155"/>
      <c r="L168" s="155"/>
      <c r="M168" s="155"/>
      <c r="N168" s="155"/>
      <c r="O168" s="155"/>
      <c r="P168" s="155"/>
    </row>
    <row r="169" spans="1:16" s="115" customFormat="1" ht="31.5">
      <c r="A169" s="504">
        <v>20</v>
      </c>
      <c r="B169" s="518" t="s">
        <v>1871</v>
      </c>
      <c r="C169" s="509"/>
      <c r="D169" s="509"/>
      <c r="E169" s="509"/>
      <c r="F169" s="509"/>
      <c r="G169" s="318"/>
      <c r="H169" s="319">
        <f t="shared" si="2"/>
        <v>0</v>
      </c>
      <c r="I169" s="155"/>
      <c r="J169" s="155"/>
      <c r="K169" s="155"/>
      <c r="L169" s="155"/>
      <c r="M169" s="155"/>
      <c r="N169" s="155"/>
      <c r="O169" s="155"/>
      <c r="P169" s="155"/>
    </row>
    <row r="170" spans="1:16" s="115" customFormat="1" ht="18.75">
      <c r="A170" s="509"/>
      <c r="B170" s="513" t="s">
        <v>932</v>
      </c>
      <c r="C170" s="506" t="s">
        <v>1790</v>
      </c>
      <c r="D170" s="506" t="s">
        <v>312</v>
      </c>
      <c r="E170" s="506" t="s">
        <v>10</v>
      </c>
      <c r="F170" s="507">
        <v>2</v>
      </c>
      <c r="G170" s="316">
        <v>440000</v>
      </c>
      <c r="H170" s="319">
        <f t="shared" si="2"/>
        <v>880000</v>
      </c>
      <c r="I170" s="155"/>
      <c r="J170" s="155"/>
      <c r="K170" s="155"/>
      <c r="L170" s="155"/>
      <c r="M170" s="155"/>
      <c r="N170" s="155"/>
      <c r="O170" s="155"/>
      <c r="P170" s="155"/>
    </row>
    <row r="171" spans="1:16" s="124" customFormat="1" ht="18.75">
      <c r="A171" s="509"/>
      <c r="B171" s="513" t="s">
        <v>932</v>
      </c>
      <c r="C171" s="506" t="s">
        <v>1791</v>
      </c>
      <c r="D171" s="506" t="s">
        <v>312</v>
      </c>
      <c r="E171" s="506" t="s">
        <v>10</v>
      </c>
      <c r="F171" s="507">
        <v>2</v>
      </c>
      <c r="G171" s="316">
        <v>385000</v>
      </c>
      <c r="H171" s="319">
        <f t="shared" si="2"/>
        <v>770000</v>
      </c>
      <c r="I171" s="211"/>
      <c r="J171" s="211"/>
      <c r="K171" s="211"/>
      <c r="L171" s="211"/>
      <c r="M171" s="211"/>
      <c r="N171" s="211"/>
      <c r="O171" s="211"/>
      <c r="P171" s="211"/>
    </row>
    <row r="172" spans="1:16" s="115" customFormat="1" ht="18.75">
      <c r="A172" s="512"/>
      <c r="B172" s="513" t="s">
        <v>1788</v>
      </c>
      <c r="C172" s="512" t="s">
        <v>1789</v>
      </c>
      <c r="D172" s="512" t="s">
        <v>39</v>
      </c>
      <c r="E172" s="506" t="s">
        <v>40</v>
      </c>
      <c r="F172" s="507">
        <v>4</v>
      </c>
      <c r="G172" s="316">
        <v>61000</v>
      </c>
      <c r="H172" s="319">
        <f t="shared" si="2"/>
        <v>244000</v>
      </c>
      <c r="I172" s="155"/>
      <c r="J172" s="155"/>
      <c r="K172" s="155"/>
      <c r="L172" s="155"/>
      <c r="M172" s="155"/>
      <c r="N172" s="155"/>
      <c r="O172" s="155"/>
      <c r="P172" s="155"/>
    </row>
    <row r="173" spans="1:16" s="115" customFormat="1" ht="18.75">
      <c r="A173" s="512"/>
      <c r="B173" s="513" t="s">
        <v>278</v>
      </c>
      <c r="C173" s="512" t="s">
        <v>845</v>
      </c>
      <c r="D173" s="512" t="s">
        <v>39</v>
      </c>
      <c r="E173" s="531" t="s">
        <v>32</v>
      </c>
      <c r="F173" s="507">
        <v>10</v>
      </c>
      <c r="G173" s="316">
        <v>10000</v>
      </c>
      <c r="H173" s="319">
        <f t="shared" si="2"/>
        <v>100000</v>
      </c>
      <c r="I173" s="155"/>
      <c r="J173" s="155"/>
      <c r="K173" s="155"/>
      <c r="L173" s="155"/>
      <c r="M173" s="155"/>
      <c r="N173" s="155"/>
      <c r="O173" s="155"/>
      <c r="P173" s="155"/>
    </row>
    <row r="174" spans="1:16" s="115" customFormat="1" ht="31.5">
      <c r="A174" s="504">
        <v>21</v>
      </c>
      <c r="B174" s="518" t="s">
        <v>1872</v>
      </c>
      <c r="C174" s="509"/>
      <c r="D174" s="509"/>
      <c r="E174" s="509"/>
      <c r="F174" s="509"/>
      <c r="G174" s="318"/>
      <c r="H174" s="319">
        <f t="shared" si="2"/>
        <v>0</v>
      </c>
      <c r="I174" s="155"/>
      <c r="J174" s="155"/>
      <c r="K174" s="155"/>
      <c r="L174" s="155"/>
      <c r="M174" s="155"/>
      <c r="N174" s="155"/>
      <c r="O174" s="155"/>
      <c r="P174" s="155"/>
    </row>
    <row r="175" spans="1:16" s="113" customFormat="1" ht="18.75">
      <c r="A175" s="509"/>
      <c r="B175" s="513" t="s">
        <v>932</v>
      </c>
      <c r="C175" s="506" t="s">
        <v>1792</v>
      </c>
      <c r="D175" s="506" t="s">
        <v>312</v>
      </c>
      <c r="E175" s="506" t="s">
        <v>10</v>
      </c>
      <c r="F175" s="507">
        <v>4</v>
      </c>
      <c r="G175" s="316">
        <v>385000</v>
      </c>
      <c r="H175" s="319">
        <f t="shared" si="2"/>
        <v>1540000</v>
      </c>
      <c r="I175" s="148"/>
      <c r="J175" s="148"/>
      <c r="K175" s="148"/>
      <c r="L175" s="148"/>
      <c r="M175" s="148"/>
      <c r="N175" s="148"/>
      <c r="O175" s="148"/>
      <c r="P175" s="148"/>
    </row>
    <row r="176" spans="1:16" s="113" customFormat="1" ht="18.75">
      <c r="A176" s="512"/>
      <c r="B176" s="513" t="s">
        <v>1788</v>
      </c>
      <c r="C176" s="512" t="s">
        <v>1789</v>
      </c>
      <c r="D176" s="512" t="s">
        <v>39</v>
      </c>
      <c r="E176" s="506" t="s">
        <v>40</v>
      </c>
      <c r="F176" s="507">
        <v>4</v>
      </c>
      <c r="G176" s="316">
        <v>61000</v>
      </c>
      <c r="H176" s="319">
        <f t="shared" si="2"/>
        <v>244000</v>
      </c>
      <c r="I176" s="148"/>
      <c r="J176" s="148"/>
      <c r="K176" s="148"/>
      <c r="L176" s="148"/>
      <c r="M176" s="148"/>
      <c r="N176" s="148"/>
      <c r="O176" s="148"/>
      <c r="P176" s="148"/>
    </row>
    <row r="177" spans="1:16" s="113" customFormat="1" ht="18.75">
      <c r="A177" s="512"/>
      <c r="B177" s="513" t="s">
        <v>278</v>
      </c>
      <c r="C177" s="512" t="s">
        <v>845</v>
      </c>
      <c r="D177" s="512" t="s">
        <v>39</v>
      </c>
      <c r="E177" s="531" t="s">
        <v>32</v>
      </c>
      <c r="F177" s="507">
        <v>10</v>
      </c>
      <c r="G177" s="316">
        <v>10000</v>
      </c>
      <c r="H177" s="319">
        <f t="shared" si="2"/>
        <v>100000</v>
      </c>
      <c r="I177" s="148"/>
      <c r="J177" s="148"/>
      <c r="K177" s="148"/>
      <c r="L177" s="148"/>
      <c r="M177" s="148"/>
      <c r="N177" s="148"/>
      <c r="O177" s="148"/>
      <c r="P177" s="148"/>
    </row>
    <row r="178" spans="1:16" s="127" customFormat="1" ht="31.5">
      <c r="A178" s="504">
        <v>22</v>
      </c>
      <c r="B178" s="518" t="s">
        <v>1873</v>
      </c>
      <c r="C178" s="509"/>
      <c r="D178" s="509"/>
      <c r="E178" s="509"/>
      <c r="F178" s="509"/>
      <c r="G178" s="318"/>
      <c r="H178" s="319">
        <f t="shared" si="2"/>
        <v>0</v>
      </c>
      <c r="I178" s="228"/>
      <c r="J178" s="228"/>
      <c r="K178" s="228"/>
      <c r="L178" s="228"/>
      <c r="M178" s="228"/>
      <c r="N178" s="228"/>
      <c r="O178" s="228"/>
      <c r="P178" s="228"/>
    </row>
    <row r="179" spans="1:16" s="139" customFormat="1" ht="18.75">
      <c r="A179" s="509"/>
      <c r="B179" s="513" t="s">
        <v>932</v>
      </c>
      <c r="C179" s="506" t="s">
        <v>1790</v>
      </c>
      <c r="D179" s="506" t="s">
        <v>312</v>
      </c>
      <c r="E179" s="506" t="s">
        <v>10</v>
      </c>
      <c r="F179" s="507">
        <v>2</v>
      </c>
      <c r="G179" s="316">
        <v>440000</v>
      </c>
      <c r="H179" s="319">
        <f t="shared" si="2"/>
        <v>880000</v>
      </c>
      <c r="I179" s="284"/>
      <c r="J179" s="284"/>
      <c r="K179" s="284"/>
      <c r="L179" s="284"/>
      <c r="M179" s="284"/>
      <c r="N179" s="284"/>
      <c r="O179" s="284"/>
      <c r="P179" s="284"/>
    </row>
    <row r="180" spans="1:16" s="139" customFormat="1" ht="18.75">
      <c r="A180" s="509"/>
      <c r="B180" s="513" t="s">
        <v>932</v>
      </c>
      <c r="C180" s="506" t="s">
        <v>1793</v>
      </c>
      <c r="D180" s="506" t="s">
        <v>312</v>
      </c>
      <c r="E180" s="506" t="s">
        <v>10</v>
      </c>
      <c r="F180" s="507">
        <v>1</v>
      </c>
      <c r="G180" s="316">
        <v>220000</v>
      </c>
      <c r="H180" s="319">
        <f t="shared" si="2"/>
        <v>220000</v>
      </c>
      <c r="I180" s="284"/>
      <c r="J180" s="284"/>
      <c r="K180" s="284"/>
      <c r="L180" s="284"/>
      <c r="M180" s="284"/>
      <c r="N180" s="284"/>
      <c r="O180" s="284"/>
      <c r="P180" s="284"/>
    </row>
    <row r="181" spans="1:16" s="139" customFormat="1" ht="18.75">
      <c r="A181" s="509"/>
      <c r="B181" s="513" t="s">
        <v>932</v>
      </c>
      <c r="C181" s="506" t="s">
        <v>1794</v>
      </c>
      <c r="D181" s="506" t="s">
        <v>312</v>
      </c>
      <c r="E181" s="506" t="s">
        <v>10</v>
      </c>
      <c r="F181" s="507">
        <v>1</v>
      </c>
      <c r="G181" s="316">
        <v>385000</v>
      </c>
      <c r="H181" s="319">
        <f t="shared" si="2"/>
        <v>385000</v>
      </c>
      <c r="I181" s="284"/>
      <c r="J181" s="284"/>
      <c r="K181" s="284"/>
      <c r="L181" s="284"/>
      <c r="M181" s="284"/>
      <c r="N181" s="284"/>
      <c r="O181" s="284"/>
      <c r="P181" s="284"/>
    </row>
    <row r="182" spans="1:16" s="139" customFormat="1" ht="18.75">
      <c r="A182" s="512"/>
      <c r="B182" s="513" t="s">
        <v>1788</v>
      </c>
      <c r="C182" s="512" t="s">
        <v>1789</v>
      </c>
      <c r="D182" s="512" t="s">
        <v>39</v>
      </c>
      <c r="E182" s="506" t="s">
        <v>40</v>
      </c>
      <c r="F182" s="507">
        <v>4</v>
      </c>
      <c r="G182" s="316">
        <v>61000</v>
      </c>
      <c r="H182" s="319">
        <f t="shared" si="2"/>
        <v>244000</v>
      </c>
      <c r="I182" s="284"/>
      <c r="J182" s="284"/>
      <c r="K182" s="284"/>
      <c r="L182" s="284"/>
      <c r="M182" s="284"/>
      <c r="N182" s="284"/>
      <c r="O182" s="284"/>
      <c r="P182" s="284"/>
    </row>
    <row r="183" spans="1:16" s="139" customFormat="1" ht="18.75">
      <c r="A183" s="512"/>
      <c r="B183" s="513" t="s">
        <v>278</v>
      </c>
      <c r="C183" s="512" t="s">
        <v>845</v>
      </c>
      <c r="D183" s="512" t="s">
        <v>39</v>
      </c>
      <c r="E183" s="531" t="s">
        <v>32</v>
      </c>
      <c r="F183" s="507">
        <v>10</v>
      </c>
      <c r="G183" s="316">
        <v>10000</v>
      </c>
      <c r="H183" s="319">
        <f t="shared" si="2"/>
        <v>100000</v>
      </c>
      <c r="I183" s="284"/>
      <c r="J183" s="284"/>
      <c r="K183" s="284"/>
      <c r="L183" s="284"/>
      <c r="M183" s="284"/>
      <c r="N183" s="284"/>
      <c r="O183" s="284"/>
      <c r="P183" s="284"/>
    </row>
    <row r="184" spans="1:16" s="139" customFormat="1" ht="31.5">
      <c r="A184" s="504">
        <v>23</v>
      </c>
      <c r="B184" s="518" t="s">
        <v>1874</v>
      </c>
      <c r="C184" s="509"/>
      <c r="D184" s="509"/>
      <c r="E184" s="509"/>
      <c r="F184" s="509"/>
      <c r="G184" s="318"/>
      <c r="H184" s="319">
        <f t="shared" si="2"/>
        <v>0</v>
      </c>
      <c r="I184" s="284"/>
      <c r="J184" s="284"/>
      <c r="K184" s="284"/>
      <c r="L184" s="284"/>
      <c r="M184" s="284"/>
      <c r="N184" s="284"/>
      <c r="O184" s="284"/>
      <c r="P184" s="284"/>
    </row>
    <row r="185" spans="1:16" s="115" customFormat="1" ht="18.75">
      <c r="A185" s="509"/>
      <c r="B185" s="513" t="s">
        <v>932</v>
      </c>
      <c r="C185" s="506" t="s">
        <v>1790</v>
      </c>
      <c r="D185" s="506" t="s">
        <v>312</v>
      </c>
      <c r="E185" s="506" t="s">
        <v>10</v>
      </c>
      <c r="F185" s="507">
        <v>2</v>
      </c>
      <c r="G185" s="316">
        <v>440000</v>
      </c>
      <c r="H185" s="319">
        <f t="shared" si="2"/>
        <v>880000</v>
      </c>
      <c r="I185" s="155"/>
      <c r="J185" s="155"/>
      <c r="K185" s="155"/>
      <c r="L185" s="155"/>
      <c r="M185" s="155"/>
      <c r="N185" s="155"/>
      <c r="O185" s="155"/>
      <c r="P185" s="155"/>
    </row>
    <row r="186" spans="1:16" s="115" customFormat="1" ht="18.75">
      <c r="A186" s="509"/>
      <c r="B186" s="513" t="s">
        <v>932</v>
      </c>
      <c r="C186" s="506" t="s">
        <v>1793</v>
      </c>
      <c r="D186" s="506" t="s">
        <v>312</v>
      </c>
      <c r="E186" s="506" t="s">
        <v>10</v>
      </c>
      <c r="F186" s="507">
        <v>1</v>
      </c>
      <c r="G186" s="316">
        <v>220000</v>
      </c>
      <c r="H186" s="319">
        <f t="shared" si="2"/>
        <v>220000</v>
      </c>
      <c r="I186" s="155"/>
      <c r="J186" s="155"/>
      <c r="K186" s="155"/>
      <c r="L186" s="155"/>
      <c r="M186" s="155"/>
      <c r="N186" s="155"/>
      <c r="O186" s="155"/>
      <c r="P186" s="155"/>
    </row>
    <row r="187" spans="1:16" s="115" customFormat="1" ht="18.75">
      <c r="A187" s="509"/>
      <c r="B187" s="513" t="s">
        <v>932</v>
      </c>
      <c r="C187" s="506" t="s">
        <v>1794</v>
      </c>
      <c r="D187" s="506" t="s">
        <v>312</v>
      </c>
      <c r="E187" s="506" t="s">
        <v>10</v>
      </c>
      <c r="F187" s="507">
        <v>1</v>
      </c>
      <c r="G187" s="316">
        <v>385000</v>
      </c>
      <c r="H187" s="319">
        <f t="shared" si="2"/>
        <v>385000</v>
      </c>
      <c r="I187" s="155"/>
      <c r="J187" s="155"/>
      <c r="K187" s="155"/>
      <c r="L187" s="155"/>
      <c r="M187" s="155"/>
      <c r="N187" s="155"/>
      <c r="O187" s="155"/>
      <c r="P187" s="155"/>
    </row>
    <row r="188" spans="1:16" s="115" customFormat="1" ht="18.75">
      <c r="A188" s="512"/>
      <c r="B188" s="513" t="s">
        <v>1788</v>
      </c>
      <c r="C188" s="512" t="s">
        <v>1789</v>
      </c>
      <c r="D188" s="512" t="s">
        <v>39</v>
      </c>
      <c r="E188" s="506" t="s">
        <v>40</v>
      </c>
      <c r="F188" s="507">
        <v>4</v>
      </c>
      <c r="G188" s="316">
        <v>61000</v>
      </c>
      <c r="H188" s="319">
        <f t="shared" si="2"/>
        <v>244000</v>
      </c>
      <c r="I188" s="155"/>
      <c r="J188" s="155"/>
      <c r="K188" s="155"/>
      <c r="L188" s="155"/>
      <c r="M188" s="155"/>
      <c r="N188" s="155"/>
      <c r="O188" s="155"/>
      <c r="P188" s="155"/>
    </row>
    <row r="189" spans="1:16" s="115" customFormat="1" ht="18.75">
      <c r="A189" s="512"/>
      <c r="B189" s="536" t="s">
        <v>1795</v>
      </c>
      <c r="C189" s="506" t="s">
        <v>1612</v>
      </c>
      <c r="D189" s="512" t="s">
        <v>39</v>
      </c>
      <c r="E189" s="506" t="s">
        <v>59</v>
      </c>
      <c r="F189" s="507">
        <v>3</v>
      </c>
      <c r="G189" s="310">
        <v>90000</v>
      </c>
      <c r="H189" s="319">
        <f t="shared" si="2"/>
        <v>270000</v>
      </c>
      <c r="I189" s="155"/>
      <c r="J189" s="155"/>
      <c r="K189" s="155"/>
      <c r="L189" s="155"/>
      <c r="M189" s="155"/>
      <c r="N189" s="155"/>
      <c r="O189" s="155"/>
      <c r="P189" s="155"/>
    </row>
    <row r="190" spans="1:16" s="115" customFormat="1" ht="18.75" hidden="1">
      <c r="A190" s="504"/>
      <c r="B190" s="537" t="s">
        <v>1796</v>
      </c>
      <c r="C190" s="504"/>
      <c r="D190" s="504"/>
      <c r="E190" s="504"/>
      <c r="F190" s="538"/>
      <c r="G190" s="309"/>
      <c r="H190" s="320">
        <v>519727060</v>
      </c>
      <c r="I190" s="155"/>
      <c r="J190" s="155"/>
      <c r="K190" s="155"/>
      <c r="L190" s="155"/>
      <c r="M190" s="155"/>
      <c r="N190" s="155"/>
      <c r="O190" s="155"/>
      <c r="P190" s="155"/>
    </row>
  </sheetData>
  <protectedRanges>
    <protectedRange sqref="B189" name="Range1_6_1_3_2_1"/>
    <protectedRange password="ED69" sqref="B189" name="Range10_3_1_2_2_1"/>
    <protectedRange sqref="B164" name="Range1_6_1_3_2_4"/>
    <protectedRange password="ED69" sqref="B164" name="Range10_3_1_2_2_4"/>
    <protectedRange sqref="B168" name="Range1_6_1_3_2_1_1"/>
    <protectedRange password="ED69" sqref="B168" name="Range10_3_1_2_2_1_1"/>
    <protectedRange sqref="B173" name="Range1_6_1_3_2_2_1"/>
    <protectedRange password="ED69" sqref="B173" name="Range10_3_1_2_2_2_1"/>
    <protectedRange sqref="B183" name="Range1_6_1_3_2_10_1_1"/>
    <protectedRange password="ED69" sqref="B183" name="Range10_3_1_2_2_10_1_1"/>
    <protectedRange sqref="B177" name="Range1_6_1_3_2_3_1"/>
    <protectedRange password="ED69" sqref="B177" name="Range10_3_1_2_2_3_1"/>
  </protectedRanges>
  <mergeCells count="7">
    <mergeCell ref="I100:P100"/>
    <mergeCell ref="A7:F7"/>
    <mergeCell ref="A1:B1"/>
    <mergeCell ref="A2:B2"/>
    <mergeCell ref="A4:F4"/>
    <mergeCell ref="A5:F5"/>
    <mergeCell ref="A6:F6"/>
  </mergeCells>
  <pageMargins left="0.65" right="0.36" top="0.75" bottom="0.75" header="0.3" footer="0.3"/>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60"/>
  <sheetViews>
    <sheetView topLeftCell="A10" workbookViewId="0">
      <selection activeCell="B16" sqref="B16"/>
    </sheetView>
  </sheetViews>
  <sheetFormatPr defaultColWidth="8.7109375" defaultRowHeight="15"/>
  <cols>
    <col min="1" max="1" width="5.42578125" style="38" customWidth="1"/>
    <col min="2" max="2" width="51.28515625" style="38" customWidth="1"/>
    <col min="3" max="3" width="16.140625" style="38" bestFit="1" customWidth="1"/>
    <col min="4" max="4" width="11.140625" style="38" customWidth="1"/>
    <col min="5" max="5" width="8.28515625" style="38" customWidth="1"/>
    <col min="6" max="6" width="8.28515625" style="806" bestFit="1" customWidth="1"/>
    <col min="7" max="7" width="13.7109375" style="38" hidden="1" customWidth="1"/>
    <col min="8" max="8" width="13.85546875" style="38" hidden="1" customWidth="1"/>
    <col min="9" max="9" width="8.7109375" style="38" hidden="1" customWidth="1"/>
    <col min="10" max="10" width="10.42578125" style="38" hidden="1" customWidth="1"/>
    <col min="11" max="11" width="12" style="38" customWidth="1"/>
    <col min="12" max="12" width="8.7109375" style="38" customWidth="1"/>
    <col min="13" max="13" width="0.7109375" style="38" customWidth="1"/>
    <col min="14" max="16384" width="8.7109375" style="38"/>
  </cols>
  <sheetData>
    <row r="1" spans="1:17" ht="15.75">
      <c r="A1" s="851" t="s">
        <v>83</v>
      </c>
      <c r="B1" s="851"/>
      <c r="C1" s="37"/>
      <c r="D1" s="37"/>
      <c r="E1" s="37"/>
    </row>
    <row r="2" spans="1:17" ht="15.75">
      <c r="A2" s="852" t="s">
        <v>0</v>
      </c>
      <c r="B2" s="852"/>
      <c r="C2" s="37"/>
      <c r="D2" s="37"/>
      <c r="E2" s="37"/>
    </row>
    <row r="3" spans="1:17" ht="15.75">
      <c r="A3" s="37"/>
      <c r="B3" s="37"/>
      <c r="C3" s="37"/>
      <c r="D3" s="37"/>
      <c r="E3" s="37"/>
    </row>
    <row r="4" spans="1:17" ht="18" customHeight="1">
      <c r="A4" s="853" t="s">
        <v>961</v>
      </c>
      <c r="B4" s="853"/>
      <c r="C4" s="853"/>
      <c r="D4" s="853"/>
      <c r="E4" s="853"/>
      <c r="F4" s="853"/>
    </row>
    <row r="5" spans="1:17" ht="18.75">
      <c r="A5" s="853" t="s">
        <v>84</v>
      </c>
      <c r="B5" s="853"/>
      <c r="C5" s="853"/>
      <c r="D5" s="853"/>
      <c r="E5" s="853"/>
      <c r="F5" s="853"/>
    </row>
    <row r="6" spans="1:17" ht="18.75">
      <c r="A6" s="853" t="s">
        <v>962</v>
      </c>
      <c r="B6" s="853"/>
      <c r="C6" s="853"/>
      <c r="D6" s="853"/>
      <c r="E6" s="853"/>
      <c r="F6" s="853"/>
    </row>
    <row r="7" spans="1:17" ht="16.5">
      <c r="A7" s="844" t="s">
        <v>1926</v>
      </c>
      <c r="B7" s="844"/>
      <c r="C7" s="844"/>
      <c r="D7" s="844"/>
      <c r="E7" s="844"/>
      <c r="F7" s="844"/>
    </row>
    <row r="9" spans="1:17" ht="47.25">
      <c r="A9" s="39" t="s">
        <v>1</v>
      </c>
      <c r="B9" s="39" t="s">
        <v>2</v>
      </c>
      <c r="C9" s="39" t="s">
        <v>3</v>
      </c>
      <c r="D9" s="39" t="s">
        <v>4</v>
      </c>
      <c r="E9" s="39" t="s">
        <v>88</v>
      </c>
      <c r="F9" s="807" t="s">
        <v>5</v>
      </c>
      <c r="G9" s="40"/>
      <c r="H9" s="40"/>
      <c r="I9" s="40"/>
      <c r="J9" s="40"/>
      <c r="K9" s="40"/>
      <c r="L9" s="40"/>
      <c r="M9" s="40"/>
      <c r="N9" s="40"/>
      <c r="O9" s="40"/>
      <c r="P9" s="40"/>
      <c r="Q9" s="40"/>
    </row>
    <row r="10" spans="1:17" s="113" customFormat="1" ht="18.75">
      <c r="A10" s="149" t="s">
        <v>89</v>
      </c>
      <c r="B10" s="150" t="s">
        <v>1326</v>
      </c>
      <c r="C10" s="73"/>
      <c r="D10" s="73"/>
      <c r="E10" s="149"/>
      <c r="F10" s="808"/>
      <c r="G10" s="146"/>
      <c r="H10" s="146">
        <f>+SUM(H11:H12)</f>
        <v>114500000</v>
      </c>
      <c r="I10" s="147"/>
      <c r="J10" s="148"/>
      <c r="K10" s="148"/>
      <c r="L10" s="148"/>
      <c r="M10" s="148"/>
      <c r="N10" s="148"/>
      <c r="O10" s="148"/>
      <c r="P10" s="148"/>
      <c r="Q10" s="148"/>
    </row>
    <row r="11" spans="1:17" s="115" customFormat="1" ht="21.6" customHeight="1">
      <c r="A11" s="151" t="s">
        <v>8</v>
      </c>
      <c r="B11" s="152" t="s">
        <v>1327</v>
      </c>
      <c r="C11" s="114"/>
      <c r="D11" s="114"/>
      <c r="E11" s="151" t="s">
        <v>1328</v>
      </c>
      <c r="F11" s="809">
        <v>90</v>
      </c>
      <c r="G11" s="153">
        <v>1150000</v>
      </c>
      <c r="H11" s="153">
        <f>+G11*F11</f>
        <v>103500000</v>
      </c>
      <c r="I11" s="154" t="s">
        <v>1329</v>
      </c>
      <c r="J11" s="155"/>
      <c r="K11" s="155"/>
      <c r="L11" s="155"/>
      <c r="M11" s="155"/>
      <c r="N11" s="155"/>
      <c r="O11" s="155"/>
      <c r="P11" s="155"/>
      <c r="Q11" s="155"/>
    </row>
    <row r="12" spans="1:17" s="113" customFormat="1" ht="47.25">
      <c r="A12" s="156" t="s">
        <v>987</v>
      </c>
      <c r="B12" s="157" t="s">
        <v>1330</v>
      </c>
      <c r="C12" s="95"/>
      <c r="D12" s="95"/>
      <c r="E12" s="156" t="s">
        <v>1331</v>
      </c>
      <c r="F12" s="810">
        <v>22</v>
      </c>
      <c r="G12" s="158">
        <v>500000</v>
      </c>
      <c r="H12" s="158">
        <f>+G12*F12</f>
        <v>11000000</v>
      </c>
      <c r="I12" s="159"/>
      <c r="J12" s="148"/>
      <c r="K12" s="148"/>
      <c r="L12" s="148"/>
      <c r="M12" s="148"/>
      <c r="N12" s="148"/>
      <c r="O12" s="148"/>
      <c r="P12" s="148"/>
      <c r="Q12" s="148"/>
    </row>
    <row r="13" spans="1:17" s="113" customFormat="1" ht="18.75">
      <c r="A13" s="149" t="s">
        <v>101</v>
      </c>
      <c r="B13" s="160" t="s">
        <v>90</v>
      </c>
      <c r="C13" s="73"/>
      <c r="D13" s="73"/>
      <c r="E13" s="161"/>
      <c r="F13" s="808"/>
      <c r="G13" s="146"/>
      <c r="H13" s="146">
        <f>+SUM(H14:H24)</f>
        <v>34381600</v>
      </c>
      <c r="I13" s="147"/>
      <c r="J13" s="148"/>
      <c r="K13" s="148"/>
      <c r="L13" s="148"/>
      <c r="M13" s="148"/>
      <c r="N13" s="148"/>
      <c r="O13" s="148"/>
      <c r="P13" s="148"/>
      <c r="Q13" s="148"/>
    </row>
    <row r="14" spans="1:17" s="113" customFormat="1" ht="18.75">
      <c r="A14" s="162">
        <v>1</v>
      </c>
      <c r="B14" s="163" t="s">
        <v>1332</v>
      </c>
      <c r="C14" s="3"/>
      <c r="D14" s="3"/>
      <c r="E14" s="164"/>
      <c r="F14" s="809"/>
      <c r="G14" s="165"/>
      <c r="H14" s="165"/>
      <c r="I14" s="166"/>
      <c r="J14" s="148"/>
      <c r="K14" s="148"/>
      <c r="L14" s="148"/>
      <c r="M14" s="148"/>
      <c r="N14" s="148"/>
      <c r="O14" s="148"/>
      <c r="P14" s="148"/>
      <c r="Q14" s="148"/>
    </row>
    <row r="15" spans="1:17" s="113" customFormat="1" ht="31.5">
      <c r="A15" s="167" t="s">
        <v>8</v>
      </c>
      <c r="B15" s="168" t="s">
        <v>1333</v>
      </c>
      <c r="C15" s="63"/>
      <c r="D15" s="63"/>
      <c r="E15" s="116" t="s">
        <v>1334</v>
      </c>
      <c r="F15" s="811">
        <v>1</v>
      </c>
      <c r="G15" s="169">
        <v>9000000</v>
      </c>
      <c r="H15" s="169">
        <f>+G15*F15</f>
        <v>9000000</v>
      </c>
      <c r="I15" s="170"/>
      <c r="J15" s="148"/>
      <c r="K15" s="148"/>
      <c r="L15" s="148"/>
      <c r="M15" s="148"/>
      <c r="N15" s="148"/>
      <c r="O15" s="148"/>
      <c r="P15" s="148"/>
      <c r="Q15" s="148"/>
    </row>
    <row r="16" spans="1:17" s="113" customFormat="1" ht="18.75">
      <c r="A16" s="171" t="s">
        <v>987</v>
      </c>
      <c r="B16" s="172" t="s">
        <v>1335</v>
      </c>
      <c r="C16" s="4"/>
      <c r="D16" s="4"/>
      <c r="E16" s="12" t="s">
        <v>13</v>
      </c>
      <c r="F16" s="812">
        <v>200</v>
      </c>
      <c r="G16" s="173">
        <v>25000</v>
      </c>
      <c r="H16" s="173">
        <f>+G16*F16</f>
        <v>5000000</v>
      </c>
      <c r="I16" s="174"/>
      <c r="J16" s="148"/>
      <c r="K16" s="148"/>
      <c r="L16" s="148"/>
      <c r="M16" s="148"/>
      <c r="N16" s="148"/>
      <c r="O16" s="148"/>
      <c r="P16" s="148"/>
      <c r="Q16" s="148"/>
    </row>
    <row r="17" spans="1:17" s="113" customFormat="1" ht="18.75">
      <c r="A17" s="171" t="s">
        <v>1258</v>
      </c>
      <c r="B17" s="172" t="s">
        <v>1336</v>
      </c>
      <c r="C17" s="4"/>
      <c r="D17" s="4"/>
      <c r="E17" s="12" t="s">
        <v>1337</v>
      </c>
      <c r="F17" s="813">
        <v>1</v>
      </c>
      <c r="G17" s="173">
        <v>2500000</v>
      </c>
      <c r="H17" s="173">
        <f>+G17*F17</f>
        <v>2500000</v>
      </c>
      <c r="I17" s="174"/>
      <c r="J17" s="148"/>
      <c r="K17" s="148"/>
      <c r="L17" s="148"/>
      <c r="M17" s="148"/>
      <c r="N17" s="148"/>
      <c r="O17" s="148"/>
      <c r="P17" s="148"/>
      <c r="Q17" s="148"/>
    </row>
    <row r="18" spans="1:17" s="113" customFormat="1" ht="18.75">
      <c r="A18" s="175">
        <v>2</v>
      </c>
      <c r="B18" s="176" t="s">
        <v>1338</v>
      </c>
      <c r="C18" s="4"/>
      <c r="D18" s="4"/>
      <c r="E18" s="11"/>
      <c r="F18" s="814"/>
      <c r="G18" s="177"/>
      <c r="H18" s="177"/>
      <c r="I18" s="174"/>
      <c r="J18" s="148"/>
      <c r="K18" s="148"/>
      <c r="L18" s="148"/>
      <c r="M18" s="148"/>
      <c r="N18" s="148"/>
      <c r="O18" s="148"/>
      <c r="P18" s="148"/>
      <c r="Q18" s="148"/>
    </row>
    <row r="19" spans="1:17" s="115" customFormat="1" ht="18.75">
      <c r="A19" s="116" t="s">
        <v>51</v>
      </c>
      <c r="B19" s="178" t="s">
        <v>1339</v>
      </c>
      <c r="C19" s="116"/>
      <c r="D19" s="179" t="s">
        <v>1340</v>
      </c>
      <c r="E19" s="116" t="s">
        <v>44</v>
      </c>
      <c r="F19" s="815">
        <v>2</v>
      </c>
      <c r="G19" s="180">
        <v>8500000</v>
      </c>
      <c r="H19" s="180">
        <f t="shared" ref="H19:H24" si="0">+G19*F19</f>
        <v>17000000</v>
      </c>
      <c r="I19" s="181"/>
      <c r="J19" s="155"/>
      <c r="K19" s="155"/>
      <c r="L19" s="155"/>
      <c r="M19" s="155"/>
      <c r="N19" s="155"/>
      <c r="O19" s="155"/>
      <c r="P19" s="155"/>
      <c r="Q19" s="155"/>
    </row>
    <row r="20" spans="1:17" s="115" customFormat="1" ht="18.75">
      <c r="A20" s="116" t="s">
        <v>1262</v>
      </c>
      <c r="B20" s="182" t="s">
        <v>1341</v>
      </c>
      <c r="C20" s="117"/>
      <c r="D20" s="136" t="s">
        <v>39</v>
      </c>
      <c r="E20" s="117" t="s">
        <v>189</v>
      </c>
      <c r="F20" s="812">
        <v>2</v>
      </c>
      <c r="G20" s="183">
        <v>35000</v>
      </c>
      <c r="H20" s="183">
        <f t="shared" si="0"/>
        <v>70000</v>
      </c>
      <c r="I20" s="184"/>
      <c r="J20" s="155"/>
      <c r="K20" s="155"/>
      <c r="L20" s="155"/>
      <c r="M20" s="155"/>
      <c r="N20" s="155"/>
      <c r="O20" s="155"/>
      <c r="P20" s="155"/>
      <c r="Q20" s="155"/>
    </row>
    <row r="21" spans="1:17" s="115" customFormat="1" ht="18.75">
      <c r="A21" s="116" t="s">
        <v>1265</v>
      </c>
      <c r="B21" s="185" t="s">
        <v>1342</v>
      </c>
      <c r="C21" s="117"/>
      <c r="D21" s="136" t="s">
        <v>39</v>
      </c>
      <c r="E21" s="12" t="s">
        <v>44</v>
      </c>
      <c r="F21" s="812">
        <v>1</v>
      </c>
      <c r="G21" s="183">
        <v>420000</v>
      </c>
      <c r="H21" s="183">
        <f t="shared" si="0"/>
        <v>420000</v>
      </c>
      <c r="I21" s="184"/>
      <c r="J21" s="155"/>
      <c r="K21" s="155"/>
      <c r="L21" s="155"/>
      <c r="M21" s="155"/>
      <c r="N21" s="155"/>
      <c r="O21" s="155"/>
      <c r="P21" s="155"/>
      <c r="Q21" s="155"/>
    </row>
    <row r="22" spans="1:17" s="115" customFormat="1" ht="18.75">
      <c r="A22" s="116" t="s">
        <v>1343</v>
      </c>
      <c r="B22" s="185" t="s">
        <v>1344</v>
      </c>
      <c r="C22" s="117"/>
      <c r="D22" s="136" t="s">
        <v>39</v>
      </c>
      <c r="E22" s="12" t="s">
        <v>59</v>
      </c>
      <c r="F22" s="812">
        <v>1</v>
      </c>
      <c r="G22" s="183">
        <v>291600</v>
      </c>
      <c r="H22" s="183">
        <f t="shared" si="0"/>
        <v>291600</v>
      </c>
      <c r="I22" s="184"/>
      <c r="J22" s="155"/>
      <c r="K22" s="155"/>
      <c r="L22" s="155"/>
      <c r="M22" s="155"/>
      <c r="N22" s="155"/>
      <c r="O22" s="155"/>
      <c r="P22" s="155"/>
      <c r="Q22" s="155"/>
    </row>
    <row r="23" spans="1:17" s="115" customFormat="1" ht="18.75">
      <c r="A23" s="116" t="s">
        <v>1345</v>
      </c>
      <c r="B23" s="185" t="s">
        <v>1346</v>
      </c>
      <c r="C23" s="118"/>
      <c r="D23" s="136" t="s">
        <v>39</v>
      </c>
      <c r="E23" s="12" t="s">
        <v>53</v>
      </c>
      <c r="F23" s="812">
        <v>5</v>
      </c>
      <c r="G23" s="183">
        <v>15000</v>
      </c>
      <c r="H23" s="183">
        <f t="shared" si="0"/>
        <v>75000</v>
      </c>
      <c r="I23" s="184"/>
      <c r="J23" s="155"/>
      <c r="K23" s="155"/>
      <c r="L23" s="155"/>
      <c r="M23" s="155"/>
      <c r="N23" s="155"/>
      <c r="O23" s="155"/>
      <c r="P23" s="155"/>
      <c r="Q23" s="155"/>
    </row>
    <row r="24" spans="1:17" s="115" customFormat="1" ht="18.75">
      <c r="A24" s="116" t="s">
        <v>1347</v>
      </c>
      <c r="B24" s="186" t="s">
        <v>1348</v>
      </c>
      <c r="C24" s="119"/>
      <c r="D24" s="136" t="s">
        <v>39</v>
      </c>
      <c r="E24" s="187" t="s">
        <v>53</v>
      </c>
      <c r="F24" s="816">
        <v>2</v>
      </c>
      <c r="G24" s="188">
        <v>12500</v>
      </c>
      <c r="H24" s="188">
        <f t="shared" si="0"/>
        <v>25000</v>
      </c>
      <c r="I24" s="189"/>
      <c r="J24" s="155"/>
      <c r="K24" s="155"/>
      <c r="L24" s="155"/>
      <c r="M24" s="155"/>
      <c r="N24" s="155"/>
      <c r="O24" s="155"/>
      <c r="P24" s="155"/>
      <c r="Q24" s="155"/>
    </row>
    <row r="25" spans="1:17" s="113" customFormat="1" ht="18.75">
      <c r="A25" s="149" t="s">
        <v>126</v>
      </c>
      <c r="B25" s="190" t="s">
        <v>314</v>
      </c>
      <c r="C25" s="73"/>
      <c r="D25" s="73"/>
      <c r="E25" s="191"/>
      <c r="F25" s="808"/>
      <c r="G25" s="146"/>
      <c r="H25" s="146">
        <f>+SUM(H26:H42)</f>
        <v>52256210.5</v>
      </c>
      <c r="I25" s="147"/>
      <c r="J25" s="148"/>
      <c r="K25" s="148"/>
      <c r="L25" s="148"/>
      <c r="M25" s="148"/>
      <c r="N25" s="148"/>
      <c r="O25" s="148"/>
      <c r="P25" s="148"/>
      <c r="Q25" s="148"/>
    </row>
    <row r="26" spans="1:17" s="113" customFormat="1" ht="18.75">
      <c r="A26" s="162">
        <v>1</v>
      </c>
      <c r="B26" s="192" t="s">
        <v>1332</v>
      </c>
      <c r="C26" s="3"/>
      <c r="D26" s="3"/>
      <c r="E26" s="193"/>
      <c r="F26" s="809"/>
      <c r="G26" s="165"/>
      <c r="H26" s="165"/>
      <c r="I26" s="166"/>
      <c r="J26" s="148"/>
      <c r="K26" s="148"/>
      <c r="L26" s="148"/>
      <c r="M26" s="148"/>
      <c r="N26" s="148"/>
      <c r="O26" s="148"/>
      <c r="P26" s="148"/>
      <c r="Q26" s="148"/>
    </row>
    <row r="27" spans="1:17" s="113" customFormat="1" ht="18.75">
      <c r="A27" s="194" t="s">
        <v>139</v>
      </c>
      <c r="B27" s="195" t="s">
        <v>1279</v>
      </c>
      <c r="C27" s="120"/>
      <c r="D27" s="120"/>
      <c r="E27" s="196"/>
      <c r="F27" s="817"/>
      <c r="G27" s="197"/>
      <c r="H27" s="197"/>
      <c r="I27" s="198"/>
      <c r="J27" s="148"/>
      <c r="K27" s="148"/>
      <c r="L27" s="148"/>
      <c r="M27" s="148"/>
      <c r="N27" s="148"/>
      <c r="O27" s="148"/>
      <c r="P27" s="148"/>
      <c r="Q27" s="148"/>
    </row>
    <row r="28" spans="1:17" s="115" customFormat="1" ht="63">
      <c r="A28" s="199" t="s">
        <v>8</v>
      </c>
      <c r="B28" s="200" t="s">
        <v>1349</v>
      </c>
      <c r="C28" s="121"/>
      <c r="D28" s="201"/>
      <c r="E28" s="201" t="s">
        <v>10</v>
      </c>
      <c r="F28" s="818">
        <v>1</v>
      </c>
      <c r="G28" s="202">
        <v>5792000</v>
      </c>
      <c r="H28" s="72">
        <f>+G28*F28</f>
        <v>5792000</v>
      </c>
      <c r="I28" s="189"/>
      <c r="J28" s="155"/>
      <c r="K28" s="155"/>
      <c r="L28" s="155"/>
      <c r="M28" s="155"/>
      <c r="N28" s="155"/>
      <c r="O28" s="155"/>
      <c r="P28" s="155"/>
      <c r="Q28" s="155"/>
    </row>
    <row r="29" spans="1:17" s="113" customFormat="1" ht="18.75">
      <c r="A29" s="4">
        <v>2</v>
      </c>
      <c r="B29" s="203" t="s">
        <v>1338</v>
      </c>
      <c r="C29" s="122"/>
      <c r="D29" s="204"/>
      <c r="E29" s="204"/>
      <c r="F29" s="819"/>
      <c r="G29" s="205"/>
      <c r="H29" s="6"/>
      <c r="I29" s="206"/>
      <c r="J29" s="148"/>
      <c r="K29" s="148"/>
      <c r="L29" s="148"/>
      <c r="M29" s="148"/>
      <c r="N29" s="148"/>
      <c r="O29" s="148"/>
      <c r="P29" s="148"/>
      <c r="Q29" s="148"/>
    </row>
    <row r="30" spans="1:17" s="124" customFormat="1" ht="18.75">
      <c r="A30" s="92" t="s">
        <v>349</v>
      </c>
      <c r="B30" s="207" t="s">
        <v>1350</v>
      </c>
      <c r="C30" s="123"/>
      <c r="D30" s="208"/>
      <c r="E30" s="208"/>
      <c r="F30" s="820"/>
      <c r="G30" s="209"/>
      <c r="H30" s="93">
        <f>+G30*F30</f>
        <v>0</v>
      </c>
      <c r="I30" s="210"/>
      <c r="J30" s="211"/>
      <c r="K30" s="211"/>
      <c r="L30" s="211"/>
      <c r="M30" s="211"/>
      <c r="N30" s="211"/>
      <c r="O30" s="211"/>
      <c r="P30" s="211"/>
      <c r="Q30" s="211"/>
    </row>
    <row r="31" spans="1:17" s="115" customFormat="1" ht="18.75">
      <c r="A31" s="7" t="s">
        <v>51</v>
      </c>
      <c r="B31" s="10" t="s">
        <v>1351</v>
      </c>
      <c r="C31" s="125"/>
      <c r="D31" s="212"/>
      <c r="E31" s="212" t="s">
        <v>32</v>
      </c>
      <c r="F31" s="821">
        <v>1</v>
      </c>
      <c r="G31" s="213">
        <v>1250000</v>
      </c>
      <c r="H31" s="9">
        <f>+G31*F31</f>
        <v>1250000</v>
      </c>
      <c r="I31" s="184"/>
      <c r="J31" s="155"/>
      <c r="K31" s="155"/>
      <c r="L31" s="155"/>
      <c r="M31" s="155"/>
      <c r="N31" s="155"/>
      <c r="O31" s="155"/>
      <c r="P31" s="155"/>
      <c r="Q31" s="155"/>
    </row>
    <row r="32" spans="1:17" s="115" customFormat="1" ht="18.75">
      <c r="A32" s="7" t="s">
        <v>1262</v>
      </c>
      <c r="B32" s="10" t="s">
        <v>1352</v>
      </c>
      <c r="C32" s="125"/>
      <c r="D32" s="212"/>
      <c r="E32" s="212" t="s">
        <v>10</v>
      </c>
      <c r="F32" s="821">
        <v>2</v>
      </c>
      <c r="G32" s="213">
        <v>150000</v>
      </c>
      <c r="H32" s="9">
        <f>+G32*F32</f>
        <v>300000</v>
      </c>
      <c r="I32" s="184"/>
      <c r="J32" s="155"/>
      <c r="K32" s="155"/>
      <c r="L32" s="155"/>
      <c r="M32" s="155"/>
      <c r="N32" s="155"/>
      <c r="O32" s="155"/>
      <c r="P32" s="155"/>
      <c r="Q32" s="155"/>
    </row>
    <row r="33" spans="1:17" s="115" customFormat="1" ht="18.75">
      <c r="A33" s="7" t="s">
        <v>1265</v>
      </c>
      <c r="B33" s="8" t="s">
        <v>1353</v>
      </c>
      <c r="C33" s="7" t="s">
        <v>1354</v>
      </c>
      <c r="D33" s="7" t="s">
        <v>39</v>
      </c>
      <c r="E33" s="7" t="s">
        <v>32</v>
      </c>
      <c r="F33" s="822">
        <v>12</v>
      </c>
      <c r="G33" s="213">
        <v>17500</v>
      </c>
      <c r="H33" s="9">
        <f>+G33*F33</f>
        <v>210000</v>
      </c>
      <c r="I33" s="184"/>
      <c r="J33" s="155"/>
      <c r="K33" s="155"/>
      <c r="L33" s="155"/>
      <c r="M33" s="155"/>
      <c r="N33" s="155"/>
      <c r="O33" s="155"/>
      <c r="P33" s="155"/>
      <c r="Q33" s="155"/>
    </row>
    <row r="34" spans="1:17" s="124" customFormat="1" ht="18.75">
      <c r="A34" s="92" t="s">
        <v>349</v>
      </c>
      <c r="B34" s="214" t="s">
        <v>1355</v>
      </c>
      <c r="C34" s="92"/>
      <c r="D34" s="215"/>
      <c r="E34" s="92"/>
      <c r="F34" s="823"/>
      <c r="G34" s="209"/>
      <c r="H34" s="93"/>
      <c r="I34" s="210"/>
      <c r="J34" s="211"/>
      <c r="K34" s="211"/>
      <c r="L34" s="211"/>
      <c r="M34" s="211"/>
      <c r="N34" s="211"/>
      <c r="O34" s="211"/>
      <c r="P34" s="211"/>
      <c r="Q34" s="211"/>
    </row>
    <row r="35" spans="1:17" s="115" customFormat="1" ht="18.75">
      <c r="A35" s="7" t="s">
        <v>1265</v>
      </c>
      <c r="B35" s="65" t="s">
        <v>1356</v>
      </c>
      <c r="C35" s="7" t="s">
        <v>1357</v>
      </c>
      <c r="D35" s="216"/>
      <c r="E35" s="7" t="s">
        <v>63</v>
      </c>
      <c r="F35" s="813">
        <v>0.9</v>
      </c>
      <c r="G35" s="217">
        <f>79.69*175000</f>
        <v>13945750</v>
      </c>
      <c r="H35" s="9">
        <f t="shared" ref="H35:H42" si="1">+G35*F35</f>
        <v>12551175</v>
      </c>
      <c r="I35" s="184"/>
      <c r="J35" s="155"/>
      <c r="K35" s="155"/>
      <c r="L35" s="155"/>
      <c r="M35" s="155"/>
      <c r="N35" s="155"/>
      <c r="O35" s="155"/>
      <c r="P35" s="155"/>
      <c r="Q35" s="155"/>
    </row>
    <row r="36" spans="1:17" s="115" customFormat="1" ht="18.75">
      <c r="A36" s="7" t="s">
        <v>1343</v>
      </c>
      <c r="B36" s="65" t="s">
        <v>1358</v>
      </c>
      <c r="C36" s="7" t="s">
        <v>1357</v>
      </c>
      <c r="D36" s="216"/>
      <c r="E36" s="7" t="s">
        <v>63</v>
      </c>
      <c r="F36" s="813">
        <v>0.75</v>
      </c>
      <c r="G36" s="217">
        <f>42.53*175000</f>
        <v>7442750</v>
      </c>
      <c r="H36" s="9">
        <f t="shared" si="1"/>
        <v>5582062.5</v>
      </c>
      <c r="I36" s="184"/>
      <c r="J36" s="155"/>
      <c r="K36" s="155"/>
      <c r="L36" s="155"/>
      <c r="M36" s="155"/>
      <c r="N36" s="155"/>
      <c r="O36" s="155"/>
      <c r="P36" s="155"/>
      <c r="Q36" s="155"/>
    </row>
    <row r="37" spans="1:17" s="115" customFormat="1" ht="18.75">
      <c r="A37" s="7" t="s">
        <v>1345</v>
      </c>
      <c r="B37" s="65" t="s">
        <v>1359</v>
      </c>
      <c r="C37" s="7" t="s">
        <v>1357</v>
      </c>
      <c r="D37" s="216"/>
      <c r="E37" s="7" t="s">
        <v>63</v>
      </c>
      <c r="F37" s="813">
        <v>0.9</v>
      </c>
      <c r="G37" s="217">
        <f>3.39*175000</f>
        <v>593250</v>
      </c>
      <c r="H37" s="9">
        <f t="shared" si="1"/>
        <v>533925</v>
      </c>
      <c r="I37" s="184"/>
      <c r="J37" s="155"/>
      <c r="K37" s="155"/>
      <c r="L37" s="155"/>
      <c r="M37" s="155"/>
      <c r="N37" s="155"/>
      <c r="O37" s="155"/>
      <c r="P37" s="155"/>
      <c r="Q37" s="155"/>
    </row>
    <row r="38" spans="1:17" s="115" customFormat="1" ht="18.75">
      <c r="A38" s="7" t="s">
        <v>1347</v>
      </c>
      <c r="B38" s="65" t="s">
        <v>1360</v>
      </c>
      <c r="C38" s="7"/>
      <c r="D38" s="216"/>
      <c r="E38" s="7" t="s">
        <v>189</v>
      </c>
      <c r="F38" s="813">
        <v>6</v>
      </c>
      <c r="G38" s="213">
        <f>+(300*180*8)*7.93/1000000*175000</f>
        <v>599508</v>
      </c>
      <c r="H38" s="9">
        <f t="shared" si="1"/>
        <v>3597048</v>
      </c>
      <c r="I38" s="184"/>
      <c r="J38" s="155"/>
      <c r="K38" s="155"/>
      <c r="L38" s="155"/>
      <c r="M38" s="155"/>
      <c r="N38" s="155"/>
      <c r="O38" s="155"/>
      <c r="P38" s="155"/>
      <c r="Q38" s="155"/>
    </row>
    <row r="39" spans="1:17" s="115" customFormat="1" ht="18.75">
      <c r="A39" s="7" t="s">
        <v>1361</v>
      </c>
      <c r="B39" s="65" t="s">
        <v>1362</v>
      </c>
      <c r="C39" s="7"/>
      <c r="D39" s="216"/>
      <c r="E39" s="7" t="s">
        <v>189</v>
      </c>
      <c r="F39" s="813">
        <v>6</v>
      </c>
      <c r="G39" s="213">
        <v>920000</v>
      </c>
      <c r="H39" s="9">
        <f t="shared" si="1"/>
        <v>5520000</v>
      </c>
      <c r="I39" s="184"/>
      <c r="J39" s="155"/>
      <c r="K39" s="155"/>
      <c r="L39" s="155"/>
      <c r="M39" s="155"/>
      <c r="N39" s="155"/>
      <c r="O39" s="155"/>
      <c r="P39" s="155"/>
      <c r="Q39" s="155"/>
    </row>
    <row r="40" spans="1:17" s="115" customFormat="1" ht="18.75">
      <c r="A40" s="7" t="s">
        <v>1363</v>
      </c>
      <c r="B40" s="65" t="s">
        <v>1364</v>
      </c>
      <c r="C40" s="7"/>
      <c r="D40" s="216"/>
      <c r="E40" s="7" t="s">
        <v>10</v>
      </c>
      <c r="F40" s="813">
        <v>6</v>
      </c>
      <c r="G40" s="213">
        <v>2450000</v>
      </c>
      <c r="H40" s="9">
        <f t="shared" si="1"/>
        <v>14700000</v>
      </c>
      <c r="I40" s="184"/>
      <c r="J40" s="155"/>
      <c r="K40" s="155"/>
      <c r="L40" s="155"/>
      <c r="M40" s="155"/>
      <c r="N40" s="155"/>
      <c r="O40" s="155"/>
      <c r="P40" s="155"/>
      <c r="Q40" s="155"/>
    </row>
    <row r="41" spans="1:17" s="115" customFormat="1" ht="18.75">
      <c r="A41" s="7" t="s">
        <v>1365</v>
      </c>
      <c r="B41" s="65" t="s">
        <v>1366</v>
      </c>
      <c r="C41" s="7" t="s">
        <v>1354</v>
      </c>
      <c r="D41" s="7" t="s">
        <v>39</v>
      </c>
      <c r="E41" s="7" t="s">
        <v>32</v>
      </c>
      <c r="F41" s="824">
        <v>48</v>
      </c>
      <c r="G41" s="213">
        <v>15000</v>
      </c>
      <c r="H41" s="9">
        <f t="shared" si="1"/>
        <v>720000</v>
      </c>
      <c r="I41" s="184"/>
      <c r="J41" s="155"/>
      <c r="K41" s="155"/>
      <c r="L41" s="155"/>
      <c r="M41" s="155"/>
      <c r="N41" s="155"/>
      <c r="O41" s="155"/>
      <c r="P41" s="155"/>
      <c r="Q41" s="155"/>
    </row>
    <row r="42" spans="1:17" s="115" customFormat="1" ht="18.75">
      <c r="A42" s="7" t="s">
        <v>1367</v>
      </c>
      <c r="B42" s="218" t="s">
        <v>1368</v>
      </c>
      <c r="C42" s="14"/>
      <c r="D42" s="219"/>
      <c r="E42" s="212" t="s">
        <v>44</v>
      </c>
      <c r="F42" s="810">
        <v>6</v>
      </c>
      <c r="G42" s="220">
        <v>250000</v>
      </c>
      <c r="H42" s="16">
        <f t="shared" si="1"/>
        <v>1500000</v>
      </c>
      <c r="I42" s="221"/>
      <c r="J42" s="155"/>
      <c r="K42" s="155"/>
      <c r="L42" s="155"/>
      <c r="M42" s="155"/>
      <c r="N42" s="155"/>
      <c r="O42" s="155"/>
      <c r="P42" s="155"/>
      <c r="Q42" s="155"/>
    </row>
    <row r="43" spans="1:17" s="113" customFormat="1" ht="18.75">
      <c r="A43" s="149" t="s">
        <v>147</v>
      </c>
      <c r="B43" s="144" t="s">
        <v>1369</v>
      </c>
      <c r="C43" s="73"/>
      <c r="D43" s="73"/>
      <c r="E43" s="222"/>
      <c r="F43" s="808"/>
      <c r="G43" s="146"/>
      <c r="H43" s="146">
        <f>+SUM(H44:H54)</f>
        <v>18043720</v>
      </c>
      <c r="I43" s="147"/>
      <c r="J43" s="148"/>
      <c r="K43" s="148"/>
      <c r="L43" s="148"/>
      <c r="M43" s="148"/>
      <c r="N43" s="148"/>
      <c r="O43" s="148"/>
      <c r="P43" s="148"/>
      <c r="Q43" s="148"/>
    </row>
    <row r="44" spans="1:17" s="113" customFormat="1" ht="18.75">
      <c r="A44" s="162">
        <v>1</v>
      </c>
      <c r="B44" s="163" t="s">
        <v>1332</v>
      </c>
      <c r="C44" s="3"/>
      <c r="D44" s="3"/>
      <c r="E44" s="164"/>
      <c r="F44" s="809"/>
      <c r="G44" s="165"/>
      <c r="H44" s="165"/>
      <c r="I44" s="166"/>
      <c r="J44" s="148"/>
      <c r="K44" s="148"/>
      <c r="L44" s="148"/>
      <c r="M44" s="148"/>
      <c r="N44" s="148"/>
      <c r="O44" s="148"/>
      <c r="P44" s="148"/>
      <c r="Q44" s="148"/>
    </row>
    <row r="45" spans="1:17" s="113" customFormat="1" ht="31.5">
      <c r="A45" s="167" t="s">
        <v>8</v>
      </c>
      <c r="B45" s="223" t="s">
        <v>1370</v>
      </c>
      <c r="C45" s="126"/>
      <c r="D45" s="126"/>
      <c r="E45" s="201" t="s">
        <v>10</v>
      </c>
      <c r="F45" s="825">
        <v>1</v>
      </c>
      <c r="G45" s="224">
        <v>12500000</v>
      </c>
      <c r="H45" s="224">
        <f>+G45*F45</f>
        <v>12500000</v>
      </c>
      <c r="I45" s="225"/>
      <c r="J45" s="148"/>
      <c r="K45" s="148"/>
      <c r="L45" s="148"/>
      <c r="M45" s="148"/>
      <c r="N45" s="148"/>
      <c r="O45" s="148"/>
      <c r="P45" s="148"/>
      <c r="Q45" s="148"/>
    </row>
    <row r="46" spans="1:17" s="113" customFormat="1" ht="31.5">
      <c r="A46" s="167" t="s">
        <v>987</v>
      </c>
      <c r="B46" s="223" t="s">
        <v>1371</v>
      </c>
      <c r="C46" s="126"/>
      <c r="D46" s="126"/>
      <c r="E46" s="201" t="s">
        <v>1372</v>
      </c>
      <c r="F46" s="825">
        <v>3</v>
      </c>
      <c r="G46" s="224">
        <v>800000</v>
      </c>
      <c r="H46" s="224">
        <f>+G46*F46</f>
        <v>2400000</v>
      </c>
      <c r="I46" s="225"/>
      <c r="J46" s="148"/>
      <c r="K46" s="148"/>
      <c r="L46" s="148"/>
      <c r="M46" s="148"/>
      <c r="N46" s="148"/>
      <c r="O46" s="148"/>
      <c r="P46" s="148"/>
      <c r="Q46" s="148"/>
    </row>
    <row r="47" spans="1:17" s="127" customFormat="1" ht="19.5">
      <c r="A47" s="175">
        <v>2</v>
      </c>
      <c r="B47" s="66" t="s">
        <v>984</v>
      </c>
      <c r="C47" s="66"/>
      <c r="D47" s="226"/>
      <c r="E47" s="226"/>
      <c r="F47" s="814"/>
      <c r="G47" s="213"/>
      <c r="H47" s="6"/>
      <c r="I47" s="227"/>
      <c r="J47" s="228"/>
      <c r="K47" s="228"/>
      <c r="L47" s="228"/>
      <c r="M47" s="228"/>
      <c r="N47" s="228"/>
      <c r="O47" s="228"/>
      <c r="P47" s="228"/>
      <c r="Q47" s="228"/>
    </row>
    <row r="48" spans="1:17" s="115" customFormat="1" ht="18.75">
      <c r="A48" s="116" t="s">
        <v>51</v>
      </c>
      <c r="B48" s="229" t="s">
        <v>1373</v>
      </c>
      <c r="C48" s="128" t="s">
        <v>1374</v>
      </c>
      <c r="D48" s="212"/>
      <c r="E48" s="128" t="s">
        <v>63</v>
      </c>
      <c r="F48" s="826">
        <v>1</v>
      </c>
      <c r="G48" s="230">
        <f>21.76*47000</f>
        <v>1022720.0000000001</v>
      </c>
      <c r="H48" s="231">
        <f t="shared" ref="H48:H54" si="2">+G48*F48</f>
        <v>1022720.0000000001</v>
      </c>
      <c r="I48" s="232"/>
      <c r="J48" s="155"/>
      <c r="K48" s="155"/>
      <c r="L48" s="155"/>
      <c r="M48" s="155"/>
      <c r="N48" s="155"/>
      <c r="O48" s="155"/>
      <c r="P48" s="155"/>
      <c r="Q48" s="155"/>
    </row>
    <row r="49" spans="1:17" s="115" customFormat="1" ht="18.75">
      <c r="A49" s="116" t="s">
        <v>1262</v>
      </c>
      <c r="B49" s="229" t="s">
        <v>1375</v>
      </c>
      <c r="C49" s="128"/>
      <c r="D49" s="212"/>
      <c r="E49" s="128" t="s">
        <v>10</v>
      </c>
      <c r="F49" s="826">
        <v>3</v>
      </c>
      <c r="G49" s="230">
        <v>650000</v>
      </c>
      <c r="H49" s="231">
        <f t="shared" si="2"/>
        <v>1950000</v>
      </c>
      <c r="I49" s="232"/>
      <c r="J49" s="155"/>
      <c r="K49" s="155"/>
      <c r="L49" s="155"/>
      <c r="M49" s="155"/>
      <c r="N49" s="155"/>
      <c r="O49" s="155"/>
      <c r="P49" s="155"/>
      <c r="Q49" s="155"/>
    </row>
    <row r="50" spans="1:17" s="124" customFormat="1" ht="18.75">
      <c r="A50" s="116" t="s">
        <v>1265</v>
      </c>
      <c r="B50" s="229" t="s">
        <v>1376</v>
      </c>
      <c r="C50" s="129"/>
      <c r="D50" s="7" t="s">
        <v>188</v>
      </c>
      <c r="E50" s="7" t="s">
        <v>44</v>
      </c>
      <c r="F50" s="813">
        <v>0.5</v>
      </c>
      <c r="G50" s="213">
        <v>49000</v>
      </c>
      <c r="H50" s="231">
        <f t="shared" si="2"/>
        <v>24500</v>
      </c>
      <c r="I50" s="233"/>
      <c r="J50" s="211"/>
      <c r="K50" s="211"/>
      <c r="L50" s="211"/>
      <c r="M50" s="211"/>
      <c r="N50" s="211"/>
      <c r="O50" s="211"/>
      <c r="P50" s="211"/>
      <c r="Q50" s="211"/>
    </row>
    <row r="51" spans="1:17" s="124" customFormat="1" ht="18.75">
      <c r="A51" s="116" t="s">
        <v>1343</v>
      </c>
      <c r="B51" s="65" t="s">
        <v>294</v>
      </c>
      <c r="C51" s="68" t="s">
        <v>1377</v>
      </c>
      <c r="D51" s="7" t="s">
        <v>188</v>
      </c>
      <c r="E51" s="7" t="s">
        <v>59</v>
      </c>
      <c r="F51" s="826">
        <v>1</v>
      </c>
      <c r="G51" s="213">
        <v>63000</v>
      </c>
      <c r="H51" s="231">
        <f t="shared" si="2"/>
        <v>63000</v>
      </c>
      <c r="I51" s="233"/>
      <c r="J51" s="211"/>
      <c r="K51" s="211"/>
      <c r="L51" s="211"/>
      <c r="M51" s="211"/>
      <c r="N51" s="211"/>
      <c r="O51" s="211"/>
      <c r="P51" s="211"/>
      <c r="Q51" s="211"/>
    </row>
    <row r="52" spans="1:17" s="124" customFormat="1" ht="18.75">
      <c r="A52" s="116" t="s">
        <v>1345</v>
      </c>
      <c r="B52" s="65" t="s">
        <v>60</v>
      </c>
      <c r="C52" s="7"/>
      <c r="D52" s="7" t="s">
        <v>188</v>
      </c>
      <c r="E52" s="7" t="s">
        <v>44</v>
      </c>
      <c r="F52" s="826">
        <v>1</v>
      </c>
      <c r="G52" s="213">
        <v>45000</v>
      </c>
      <c r="H52" s="231">
        <f t="shared" si="2"/>
        <v>45000</v>
      </c>
      <c r="I52" s="233"/>
      <c r="J52" s="211"/>
      <c r="K52" s="211"/>
      <c r="L52" s="211"/>
      <c r="M52" s="211"/>
      <c r="N52" s="211"/>
      <c r="O52" s="211"/>
      <c r="P52" s="211"/>
      <c r="Q52" s="211"/>
    </row>
    <row r="53" spans="1:17" s="124" customFormat="1" ht="18.75">
      <c r="A53" s="116" t="s">
        <v>1347</v>
      </c>
      <c r="B53" s="65" t="s">
        <v>52</v>
      </c>
      <c r="C53" s="7" t="s">
        <v>285</v>
      </c>
      <c r="D53" s="7" t="s">
        <v>39</v>
      </c>
      <c r="E53" s="7" t="s">
        <v>53</v>
      </c>
      <c r="F53" s="824">
        <v>1</v>
      </c>
      <c r="G53" s="213">
        <v>26000</v>
      </c>
      <c r="H53" s="231">
        <f t="shared" si="2"/>
        <v>26000</v>
      </c>
      <c r="I53" s="233"/>
      <c r="J53" s="211"/>
      <c r="K53" s="211"/>
      <c r="L53" s="211"/>
      <c r="M53" s="211"/>
      <c r="N53" s="211"/>
      <c r="O53" s="211"/>
      <c r="P53" s="211"/>
      <c r="Q53" s="211"/>
    </row>
    <row r="54" spans="1:17" s="115" customFormat="1" ht="18.75">
      <c r="A54" s="116" t="s">
        <v>1361</v>
      </c>
      <c r="B54" s="234" t="s">
        <v>1378</v>
      </c>
      <c r="C54" s="71" t="s">
        <v>285</v>
      </c>
      <c r="D54" s="7" t="s">
        <v>39</v>
      </c>
      <c r="E54" s="71" t="s">
        <v>53</v>
      </c>
      <c r="F54" s="825">
        <v>1</v>
      </c>
      <c r="G54" s="235">
        <v>12500</v>
      </c>
      <c r="H54" s="231">
        <f t="shared" si="2"/>
        <v>12500</v>
      </c>
      <c r="I54" s="233"/>
      <c r="J54" s="155"/>
      <c r="K54" s="155"/>
      <c r="L54" s="155"/>
      <c r="M54" s="155"/>
      <c r="N54" s="155"/>
      <c r="O54" s="155"/>
      <c r="P54" s="155"/>
      <c r="Q54" s="155"/>
    </row>
    <row r="55" spans="1:17" s="113" customFormat="1" ht="18.75">
      <c r="A55" s="149" t="s">
        <v>153</v>
      </c>
      <c r="B55" s="141" t="s">
        <v>1379</v>
      </c>
      <c r="C55" s="73"/>
      <c r="D55" s="73"/>
      <c r="E55" s="191"/>
      <c r="F55" s="808"/>
      <c r="G55" s="146"/>
      <c r="H55" s="146">
        <f>+SUM(H56:H60)</f>
        <v>7500000</v>
      </c>
      <c r="I55" s="147"/>
      <c r="J55" s="148"/>
      <c r="K55" s="148"/>
      <c r="L55" s="148"/>
      <c r="M55" s="148"/>
      <c r="N55" s="148"/>
      <c r="O55" s="148"/>
      <c r="P55" s="148"/>
      <c r="Q55" s="148"/>
    </row>
    <row r="56" spans="1:17" s="113" customFormat="1" ht="18.75">
      <c r="A56" s="162">
        <v>1</v>
      </c>
      <c r="B56" s="236" t="s">
        <v>1332</v>
      </c>
      <c r="C56" s="3"/>
      <c r="D56" s="3"/>
      <c r="E56" s="193"/>
      <c r="F56" s="809"/>
      <c r="G56" s="165"/>
      <c r="H56" s="165"/>
      <c r="I56" s="166"/>
      <c r="J56" s="148"/>
      <c r="K56" s="148"/>
      <c r="L56" s="148"/>
      <c r="M56" s="148"/>
      <c r="N56" s="148"/>
      <c r="O56" s="148"/>
      <c r="P56" s="148"/>
      <c r="Q56" s="148"/>
    </row>
    <row r="57" spans="1:17" s="113" customFormat="1" ht="18.75">
      <c r="A57" s="175" t="s">
        <v>139</v>
      </c>
      <c r="B57" s="13" t="s">
        <v>1380</v>
      </c>
      <c r="C57" s="4"/>
      <c r="D57" s="4"/>
      <c r="E57" s="136"/>
      <c r="F57" s="827"/>
      <c r="G57" s="177"/>
      <c r="H57" s="173"/>
      <c r="I57" s="174"/>
      <c r="J57" s="148"/>
      <c r="K57" s="148"/>
      <c r="L57" s="148"/>
      <c r="M57" s="148"/>
      <c r="N57" s="148"/>
      <c r="O57" s="148"/>
      <c r="P57" s="148"/>
      <c r="Q57" s="148"/>
    </row>
    <row r="58" spans="1:17" s="113" customFormat="1" ht="47.25">
      <c r="A58" s="171" t="s">
        <v>8</v>
      </c>
      <c r="B58" s="10" t="s">
        <v>1645</v>
      </c>
      <c r="C58" s="4"/>
      <c r="D58" s="4"/>
      <c r="E58" s="136" t="s">
        <v>1381</v>
      </c>
      <c r="F58" s="827">
        <v>2</v>
      </c>
      <c r="G58" s="173">
        <v>1500000</v>
      </c>
      <c r="H58" s="173">
        <f>+G58*F58</f>
        <v>3000000</v>
      </c>
      <c r="I58" s="174"/>
      <c r="J58" s="148"/>
      <c r="K58" s="148"/>
      <c r="L58" s="148"/>
      <c r="M58" s="148"/>
      <c r="N58" s="148"/>
      <c r="O58" s="148"/>
      <c r="P58" s="148"/>
      <c r="Q58" s="148"/>
    </row>
    <row r="59" spans="1:17" s="113" customFormat="1" ht="31.5">
      <c r="A59" s="171" t="s">
        <v>987</v>
      </c>
      <c r="B59" s="10" t="s">
        <v>1382</v>
      </c>
      <c r="C59" s="4"/>
      <c r="D59" s="4"/>
      <c r="E59" s="136" t="s">
        <v>1381</v>
      </c>
      <c r="F59" s="827">
        <v>2</v>
      </c>
      <c r="G59" s="173">
        <v>750000</v>
      </c>
      <c r="H59" s="173">
        <f>+G59*F59</f>
        <v>1500000</v>
      </c>
      <c r="I59" s="174"/>
      <c r="J59" s="148"/>
      <c r="K59" s="148"/>
      <c r="L59" s="148"/>
      <c r="M59" s="148"/>
      <c r="N59" s="148"/>
      <c r="O59" s="148"/>
      <c r="P59" s="148"/>
      <c r="Q59" s="148"/>
    </row>
    <row r="60" spans="1:17" s="113" customFormat="1" ht="18.75">
      <c r="A60" s="171" t="s">
        <v>1258</v>
      </c>
      <c r="B60" s="200" t="s">
        <v>1383</v>
      </c>
      <c r="C60" s="126"/>
      <c r="D60" s="126"/>
      <c r="E60" s="237" t="s">
        <v>1381</v>
      </c>
      <c r="F60" s="828">
        <v>2</v>
      </c>
      <c r="G60" s="224">
        <v>1500000</v>
      </c>
      <c r="H60" s="224">
        <f>+G60*F60</f>
        <v>3000000</v>
      </c>
      <c r="I60" s="225"/>
      <c r="J60" s="148"/>
      <c r="K60" s="148"/>
      <c r="L60" s="148"/>
      <c r="M60" s="148"/>
      <c r="N60" s="148"/>
      <c r="O60" s="148"/>
      <c r="P60" s="148"/>
      <c r="Q60" s="148"/>
    </row>
    <row r="61" spans="1:17" s="130" customFormat="1" ht="18.75">
      <c r="A61" s="73" t="s">
        <v>153</v>
      </c>
      <c r="B61" s="141" t="s">
        <v>1384</v>
      </c>
      <c r="C61" s="73"/>
      <c r="D61" s="73"/>
      <c r="E61" s="238"/>
      <c r="F61" s="808"/>
      <c r="G61" s="146"/>
      <c r="H61" s="146">
        <f>+SUM(H63:H80)</f>
        <v>23372500</v>
      </c>
      <c r="I61" s="239"/>
      <c r="J61" s="240"/>
      <c r="K61" s="240"/>
      <c r="L61" s="240"/>
      <c r="M61" s="240"/>
      <c r="N61" s="240"/>
      <c r="O61" s="240"/>
      <c r="P61" s="240"/>
      <c r="Q61" s="240"/>
    </row>
    <row r="62" spans="1:17" s="130" customFormat="1" ht="18.75">
      <c r="A62" s="120">
        <v>1</v>
      </c>
      <c r="B62" s="241" t="s">
        <v>1332</v>
      </c>
      <c r="C62" s="131"/>
      <c r="D62" s="131"/>
      <c r="E62" s="242"/>
      <c r="F62" s="829"/>
      <c r="G62" s="243"/>
      <c r="H62" s="243"/>
      <c r="I62" s="244"/>
      <c r="J62" s="240"/>
      <c r="K62" s="240"/>
      <c r="L62" s="240"/>
      <c r="M62" s="240"/>
      <c r="N62" s="240"/>
      <c r="O62" s="240"/>
      <c r="P62" s="240"/>
      <c r="Q62" s="240"/>
    </row>
    <row r="63" spans="1:17" s="130" customFormat="1" ht="47.25">
      <c r="A63" s="4" t="s">
        <v>139</v>
      </c>
      <c r="B63" s="5" t="s">
        <v>1385</v>
      </c>
      <c r="C63" s="4"/>
      <c r="D63" s="4"/>
      <c r="E63" s="204"/>
      <c r="F63" s="813"/>
      <c r="G63" s="177"/>
      <c r="H63" s="177"/>
      <c r="I63" s="245"/>
      <c r="J63" s="240"/>
      <c r="K63" s="240"/>
      <c r="L63" s="240"/>
      <c r="M63" s="240"/>
      <c r="N63" s="240"/>
      <c r="O63" s="240"/>
      <c r="P63" s="240"/>
      <c r="Q63" s="240"/>
    </row>
    <row r="64" spans="1:17" s="130" customFormat="1" ht="31.5">
      <c r="A64" s="92"/>
      <c r="B64" s="94" t="s">
        <v>1386</v>
      </c>
      <c r="C64" s="4"/>
      <c r="D64" s="4"/>
      <c r="E64" s="135"/>
      <c r="F64" s="813"/>
      <c r="G64" s="177"/>
      <c r="H64" s="177"/>
      <c r="I64" s="245"/>
      <c r="J64" s="240"/>
      <c r="K64" s="240"/>
      <c r="L64" s="240"/>
      <c r="M64" s="240"/>
      <c r="N64" s="240"/>
      <c r="O64" s="240"/>
      <c r="P64" s="240"/>
      <c r="Q64" s="240"/>
    </row>
    <row r="65" spans="1:17" s="130" customFormat="1" ht="31.5">
      <c r="A65" s="92"/>
      <c r="B65" s="94" t="s">
        <v>1387</v>
      </c>
      <c r="C65" s="4"/>
      <c r="D65" s="4"/>
      <c r="E65" s="135"/>
      <c r="F65" s="813"/>
      <c r="G65" s="177"/>
      <c r="H65" s="177"/>
      <c r="I65" s="245"/>
      <c r="J65" s="240"/>
      <c r="K65" s="240"/>
      <c r="L65" s="240"/>
      <c r="M65" s="240"/>
      <c r="N65" s="240"/>
      <c r="O65" s="240"/>
      <c r="P65" s="240"/>
      <c r="Q65" s="240"/>
    </row>
    <row r="66" spans="1:17" s="130" customFormat="1" ht="18.75">
      <c r="A66" s="7" t="s">
        <v>8</v>
      </c>
      <c r="B66" s="8" t="s">
        <v>1388</v>
      </c>
      <c r="C66" s="4"/>
      <c r="D66" s="4"/>
      <c r="E66" s="128" t="s">
        <v>10</v>
      </c>
      <c r="F66" s="813">
        <v>1</v>
      </c>
      <c r="G66" s="173">
        <v>4500000</v>
      </c>
      <c r="H66" s="173">
        <f>+G66*F66</f>
        <v>4500000</v>
      </c>
      <c r="I66" s="246"/>
      <c r="J66" s="240"/>
      <c r="K66" s="240"/>
      <c r="L66" s="240"/>
      <c r="M66" s="240"/>
      <c r="N66" s="240"/>
      <c r="O66" s="240"/>
      <c r="P66" s="240"/>
      <c r="Q66" s="240"/>
    </row>
    <row r="67" spans="1:17" s="130" customFormat="1" ht="18.75">
      <c r="A67" s="7" t="s">
        <v>987</v>
      </c>
      <c r="B67" s="8" t="s">
        <v>1389</v>
      </c>
      <c r="C67" s="4"/>
      <c r="D67" s="4"/>
      <c r="E67" s="128" t="s">
        <v>10</v>
      </c>
      <c r="F67" s="813">
        <v>1</v>
      </c>
      <c r="G67" s="173">
        <v>4500000</v>
      </c>
      <c r="H67" s="173">
        <f>+G67*F67</f>
        <v>4500000</v>
      </c>
      <c r="I67" s="246"/>
      <c r="J67" s="240"/>
      <c r="K67" s="240"/>
      <c r="L67" s="240"/>
      <c r="M67" s="240"/>
      <c r="N67" s="240"/>
      <c r="O67" s="240"/>
      <c r="P67" s="240"/>
      <c r="Q67" s="240"/>
    </row>
    <row r="68" spans="1:17" s="130" customFormat="1" ht="18.75">
      <c r="A68" s="7" t="s">
        <v>1258</v>
      </c>
      <c r="B68" s="8" t="s">
        <v>1390</v>
      </c>
      <c r="C68" s="4"/>
      <c r="D68" s="4"/>
      <c r="E68" s="128" t="s">
        <v>10</v>
      </c>
      <c r="F68" s="813">
        <v>1</v>
      </c>
      <c r="G68" s="173">
        <v>2500000</v>
      </c>
      <c r="H68" s="173">
        <f>+G68*F68</f>
        <v>2500000</v>
      </c>
      <c r="I68" s="246"/>
      <c r="J68" s="240"/>
      <c r="K68" s="240"/>
      <c r="L68" s="240"/>
      <c r="M68" s="240"/>
      <c r="N68" s="240"/>
      <c r="O68" s="240"/>
      <c r="P68" s="240"/>
      <c r="Q68" s="240"/>
    </row>
    <row r="69" spans="1:17" s="130" customFormat="1" ht="18.75">
      <c r="A69" s="71" t="s">
        <v>1391</v>
      </c>
      <c r="B69" s="247" t="s">
        <v>1392</v>
      </c>
      <c r="C69" s="126"/>
      <c r="D69" s="126"/>
      <c r="E69" s="248" t="s">
        <v>10</v>
      </c>
      <c r="F69" s="825">
        <v>1</v>
      </c>
      <c r="G69" s="224">
        <v>3500000</v>
      </c>
      <c r="H69" s="224">
        <f>+G69*F69</f>
        <v>3500000</v>
      </c>
      <c r="I69" s="249"/>
      <c r="J69" s="240"/>
      <c r="K69" s="240"/>
      <c r="L69" s="240"/>
      <c r="M69" s="240"/>
      <c r="N69" s="240"/>
      <c r="O69" s="240"/>
      <c r="P69" s="240"/>
      <c r="Q69" s="240"/>
    </row>
    <row r="70" spans="1:17" s="113" customFormat="1" ht="18.75">
      <c r="A70" s="175">
        <v>2</v>
      </c>
      <c r="B70" s="5" t="s">
        <v>984</v>
      </c>
      <c r="C70" s="4"/>
      <c r="D70" s="250"/>
      <c r="E70" s="4"/>
      <c r="F70" s="814"/>
      <c r="G70" s="230"/>
      <c r="H70" s="251"/>
      <c r="I70" s="206"/>
      <c r="J70" s="148"/>
      <c r="K70" s="148"/>
      <c r="L70" s="148"/>
      <c r="M70" s="148"/>
      <c r="N70" s="148"/>
      <c r="O70" s="148"/>
      <c r="P70" s="148"/>
      <c r="Q70" s="148"/>
    </row>
    <row r="71" spans="1:17" s="115" customFormat="1" ht="18.75">
      <c r="A71" s="68" t="s">
        <v>51</v>
      </c>
      <c r="B71" s="65" t="s">
        <v>1393</v>
      </c>
      <c r="C71" s="7">
        <v>6306</v>
      </c>
      <c r="D71" s="68" t="s">
        <v>1394</v>
      </c>
      <c r="E71" s="68" t="s">
        <v>10</v>
      </c>
      <c r="F71" s="826">
        <v>4</v>
      </c>
      <c r="G71" s="173">
        <v>450000</v>
      </c>
      <c r="H71" s="231">
        <f t="shared" ref="H71:H80" si="3">G71*F71</f>
        <v>1800000</v>
      </c>
      <c r="I71" s="184"/>
      <c r="J71" s="155"/>
      <c r="K71" s="155"/>
      <c r="L71" s="155"/>
      <c r="M71" s="155"/>
      <c r="N71" s="155"/>
      <c r="O71" s="155"/>
      <c r="P71" s="155"/>
      <c r="Q71" s="155"/>
    </row>
    <row r="72" spans="1:17" s="115" customFormat="1" ht="18.75">
      <c r="A72" s="68" t="s">
        <v>1262</v>
      </c>
      <c r="B72" s="65" t="s">
        <v>1395</v>
      </c>
      <c r="C72" s="7">
        <v>6205</v>
      </c>
      <c r="D72" s="68" t="s">
        <v>1394</v>
      </c>
      <c r="E72" s="68" t="s">
        <v>10</v>
      </c>
      <c r="F72" s="826">
        <v>2</v>
      </c>
      <c r="G72" s="173">
        <v>220000</v>
      </c>
      <c r="H72" s="231">
        <f t="shared" si="3"/>
        <v>440000</v>
      </c>
      <c r="I72" s="184"/>
      <c r="J72" s="155"/>
      <c r="K72" s="155"/>
      <c r="L72" s="155"/>
      <c r="M72" s="155"/>
      <c r="N72" s="155"/>
      <c r="O72" s="155"/>
      <c r="P72" s="155"/>
      <c r="Q72" s="155"/>
    </row>
    <row r="73" spans="1:17" s="115" customFormat="1" ht="18.75">
      <c r="A73" s="68" t="s">
        <v>1265</v>
      </c>
      <c r="B73" s="65" t="s">
        <v>1396</v>
      </c>
      <c r="C73" s="7">
        <v>6206</v>
      </c>
      <c r="D73" s="68" t="s">
        <v>1394</v>
      </c>
      <c r="E73" s="68" t="s">
        <v>10</v>
      </c>
      <c r="F73" s="826">
        <v>2</v>
      </c>
      <c r="G73" s="173">
        <v>250000</v>
      </c>
      <c r="H73" s="231">
        <f t="shared" si="3"/>
        <v>500000</v>
      </c>
      <c r="I73" s="184"/>
      <c r="J73" s="155"/>
      <c r="K73" s="155"/>
      <c r="L73" s="155"/>
      <c r="M73" s="155"/>
      <c r="N73" s="155"/>
      <c r="O73" s="155"/>
      <c r="P73" s="155"/>
      <c r="Q73" s="155"/>
    </row>
    <row r="74" spans="1:17" s="115" customFormat="1" ht="18.75">
      <c r="A74" s="68" t="s">
        <v>1343</v>
      </c>
      <c r="B74" s="65" t="s">
        <v>1397</v>
      </c>
      <c r="C74" s="7" t="s">
        <v>1398</v>
      </c>
      <c r="D74" s="68"/>
      <c r="E74" s="68" t="s">
        <v>32</v>
      </c>
      <c r="F74" s="826">
        <v>12</v>
      </c>
      <c r="G74" s="173">
        <v>12500</v>
      </c>
      <c r="H74" s="231">
        <f t="shared" si="3"/>
        <v>150000</v>
      </c>
      <c r="I74" s="184"/>
      <c r="J74" s="155"/>
      <c r="K74" s="155"/>
      <c r="L74" s="155"/>
      <c r="M74" s="155"/>
      <c r="N74" s="155"/>
      <c r="O74" s="155"/>
      <c r="P74" s="155"/>
      <c r="Q74" s="155"/>
    </row>
    <row r="75" spans="1:17" s="115" customFormat="1" ht="18.75">
      <c r="A75" s="68" t="s">
        <v>1345</v>
      </c>
      <c r="B75" s="252" t="s">
        <v>1399</v>
      </c>
      <c r="C75" s="132"/>
      <c r="D75" s="136" t="s">
        <v>39</v>
      </c>
      <c r="E75" s="253" t="s">
        <v>40</v>
      </c>
      <c r="F75" s="826">
        <v>30</v>
      </c>
      <c r="G75" s="173">
        <v>25000</v>
      </c>
      <c r="H75" s="231">
        <f t="shared" si="3"/>
        <v>750000</v>
      </c>
      <c r="I75" s="184"/>
      <c r="J75" s="155"/>
      <c r="K75" s="155"/>
      <c r="L75" s="155"/>
      <c r="M75" s="155"/>
      <c r="N75" s="155"/>
      <c r="O75" s="155"/>
      <c r="P75" s="155"/>
      <c r="Q75" s="155"/>
    </row>
    <row r="76" spans="1:17" s="115" customFormat="1" ht="18.75">
      <c r="A76" s="68" t="s">
        <v>1347</v>
      </c>
      <c r="B76" s="252" t="s">
        <v>1400</v>
      </c>
      <c r="C76" s="132"/>
      <c r="D76" s="136" t="s">
        <v>39</v>
      </c>
      <c r="E76" s="253" t="s">
        <v>44</v>
      </c>
      <c r="F76" s="826">
        <v>10</v>
      </c>
      <c r="G76" s="173">
        <v>16000</v>
      </c>
      <c r="H76" s="231">
        <f t="shared" si="3"/>
        <v>160000</v>
      </c>
      <c r="I76" s="184"/>
      <c r="J76" s="155"/>
      <c r="K76" s="155"/>
      <c r="L76" s="155"/>
      <c r="M76" s="155"/>
      <c r="N76" s="155"/>
      <c r="O76" s="155"/>
      <c r="P76" s="155"/>
      <c r="Q76" s="155"/>
    </row>
    <row r="77" spans="1:17" s="115" customFormat="1" ht="18.75">
      <c r="A77" s="68" t="s">
        <v>1361</v>
      </c>
      <c r="B77" s="252" t="s">
        <v>1401</v>
      </c>
      <c r="C77" s="132"/>
      <c r="D77" s="136" t="s">
        <v>39</v>
      </c>
      <c r="E77" s="253" t="s">
        <v>82</v>
      </c>
      <c r="F77" s="826">
        <v>5</v>
      </c>
      <c r="G77" s="173">
        <v>540000</v>
      </c>
      <c r="H77" s="231">
        <f t="shared" si="3"/>
        <v>2700000</v>
      </c>
      <c r="I77" s="184"/>
      <c r="J77" s="155"/>
      <c r="K77" s="155"/>
      <c r="L77" s="155"/>
      <c r="M77" s="155"/>
      <c r="N77" s="155"/>
      <c r="O77" s="155"/>
      <c r="P77" s="155"/>
      <c r="Q77" s="155"/>
    </row>
    <row r="78" spans="1:17" s="115" customFormat="1" ht="18.75">
      <c r="A78" s="68" t="s">
        <v>1363</v>
      </c>
      <c r="B78" s="252" t="s">
        <v>1402</v>
      </c>
      <c r="C78" s="132" t="s">
        <v>1403</v>
      </c>
      <c r="D78" s="136" t="s">
        <v>39</v>
      </c>
      <c r="E78" s="253" t="s">
        <v>10</v>
      </c>
      <c r="F78" s="826">
        <v>5</v>
      </c>
      <c r="G78" s="173">
        <v>6000</v>
      </c>
      <c r="H78" s="231">
        <f t="shared" si="3"/>
        <v>30000</v>
      </c>
      <c r="I78" s="184"/>
      <c r="J78" s="155"/>
      <c r="K78" s="155"/>
      <c r="L78" s="155"/>
      <c r="M78" s="155"/>
      <c r="N78" s="155"/>
      <c r="O78" s="155"/>
      <c r="P78" s="155"/>
      <c r="Q78" s="155"/>
    </row>
    <row r="79" spans="1:17" s="115" customFormat="1" ht="18.75">
      <c r="A79" s="68" t="s">
        <v>1365</v>
      </c>
      <c r="B79" s="65" t="s">
        <v>1404</v>
      </c>
      <c r="C79" s="7"/>
      <c r="D79" s="68" t="s">
        <v>1405</v>
      </c>
      <c r="E79" s="68" t="s">
        <v>40</v>
      </c>
      <c r="F79" s="826">
        <v>6</v>
      </c>
      <c r="G79" s="173">
        <v>225000</v>
      </c>
      <c r="H79" s="231">
        <f t="shared" si="3"/>
        <v>1350000</v>
      </c>
      <c r="I79" s="184"/>
      <c r="J79" s="155"/>
      <c r="K79" s="155"/>
      <c r="L79" s="155"/>
      <c r="M79" s="155"/>
      <c r="N79" s="155"/>
      <c r="O79" s="155"/>
      <c r="P79" s="155"/>
      <c r="Q79" s="155"/>
    </row>
    <row r="80" spans="1:17" s="115" customFormat="1" ht="18.75">
      <c r="A80" s="68" t="s">
        <v>1367</v>
      </c>
      <c r="B80" s="234" t="s">
        <v>1406</v>
      </c>
      <c r="C80" s="71"/>
      <c r="D80" s="136" t="s">
        <v>39</v>
      </c>
      <c r="E80" s="254" t="s">
        <v>40</v>
      </c>
      <c r="F80" s="830">
        <v>5</v>
      </c>
      <c r="G80" s="224">
        <v>98500</v>
      </c>
      <c r="H80" s="231">
        <f t="shared" si="3"/>
        <v>492500</v>
      </c>
      <c r="I80" s="189"/>
      <c r="J80" s="155"/>
      <c r="K80" s="155"/>
      <c r="L80" s="155"/>
      <c r="M80" s="155"/>
      <c r="N80" s="155"/>
      <c r="O80" s="155"/>
      <c r="P80" s="155"/>
      <c r="Q80" s="155"/>
    </row>
    <row r="81" spans="1:17" s="112" customFormat="1" ht="16.5">
      <c r="A81" s="73" t="s">
        <v>37</v>
      </c>
      <c r="B81" s="144" t="s">
        <v>1407</v>
      </c>
      <c r="C81" s="73"/>
      <c r="D81" s="73"/>
      <c r="E81" s="73"/>
      <c r="F81" s="831"/>
      <c r="G81" s="145"/>
      <c r="H81" s="146">
        <f>+SUM(H82:H257)/2</f>
        <v>367739175</v>
      </c>
      <c r="I81" s="147"/>
      <c r="J81" s="148"/>
      <c r="K81" s="148"/>
      <c r="L81" s="148"/>
      <c r="M81" s="148"/>
      <c r="N81" s="148"/>
      <c r="O81" s="148"/>
      <c r="P81" s="148"/>
      <c r="Q81" s="148"/>
    </row>
    <row r="82" spans="1:17" s="113" customFormat="1" ht="18.75">
      <c r="A82" s="149" t="s">
        <v>297</v>
      </c>
      <c r="B82" s="190" t="s">
        <v>314</v>
      </c>
      <c r="C82" s="73"/>
      <c r="D82" s="73"/>
      <c r="E82" s="191"/>
      <c r="F82" s="808"/>
      <c r="G82" s="146"/>
      <c r="H82" s="146">
        <f>+SUM(H83:H175)</f>
        <v>296203240</v>
      </c>
      <c r="I82" s="147"/>
      <c r="J82" s="148"/>
      <c r="K82" s="148"/>
      <c r="L82" s="148"/>
      <c r="M82" s="148"/>
      <c r="N82" s="148"/>
      <c r="O82" s="148"/>
      <c r="P82" s="148"/>
      <c r="Q82" s="148"/>
    </row>
    <row r="83" spans="1:17" s="113" customFormat="1" ht="18.75">
      <c r="A83" s="162">
        <v>1</v>
      </c>
      <c r="B83" s="192" t="s">
        <v>1332</v>
      </c>
      <c r="C83" s="3"/>
      <c r="D83" s="3"/>
      <c r="E83" s="193"/>
      <c r="F83" s="809"/>
      <c r="G83" s="165"/>
      <c r="H83" s="165"/>
      <c r="I83" s="166"/>
      <c r="J83" s="148"/>
      <c r="K83" s="148"/>
      <c r="L83" s="148"/>
      <c r="M83" s="148"/>
      <c r="N83" s="148"/>
      <c r="O83" s="148"/>
      <c r="P83" s="148"/>
      <c r="Q83" s="148"/>
    </row>
    <row r="84" spans="1:17" s="113" customFormat="1" ht="31.5">
      <c r="A84" s="255" t="s">
        <v>139</v>
      </c>
      <c r="B84" s="256" t="s">
        <v>1408</v>
      </c>
      <c r="C84" s="63"/>
      <c r="D84" s="63"/>
      <c r="E84" s="63" t="s">
        <v>10</v>
      </c>
      <c r="F84" s="832">
        <v>1</v>
      </c>
      <c r="G84" s="257"/>
      <c r="H84" s="257"/>
      <c r="I84" s="170"/>
      <c r="J84" s="148"/>
      <c r="K84" s="148"/>
      <c r="L84" s="148"/>
      <c r="M84" s="148"/>
      <c r="N84" s="148"/>
      <c r="O84" s="148"/>
      <c r="P84" s="148"/>
      <c r="Q84" s="148"/>
    </row>
    <row r="85" spans="1:17" s="113" customFormat="1" ht="31.5">
      <c r="A85" s="171" t="s">
        <v>8</v>
      </c>
      <c r="B85" s="10" t="s">
        <v>1409</v>
      </c>
      <c r="C85" s="4"/>
      <c r="D85" s="4"/>
      <c r="E85" s="7" t="s">
        <v>26</v>
      </c>
      <c r="F85" s="813">
        <v>1</v>
      </c>
      <c r="G85" s="173">
        <v>12500000</v>
      </c>
      <c r="H85" s="173">
        <f t="shared" ref="H85:H103" si="4">+G85*F85</f>
        <v>12500000</v>
      </c>
      <c r="I85" s="174"/>
      <c r="J85" s="148"/>
      <c r="K85" s="148"/>
      <c r="L85" s="148"/>
      <c r="M85" s="148"/>
      <c r="N85" s="148"/>
      <c r="O85" s="148"/>
      <c r="P85" s="148"/>
      <c r="Q85" s="148"/>
    </row>
    <row r="86" spans="1:17" s="113" customFormat="1" ht="78.75">
      <c r="A86" s="171" t="s">
        <v>987</v>
      </c>
      <c r="B86" s="258" t="s">
        <v>1410</v>
      </c>
      <c r="C86" s="4"/>
      <c r="D86" s="4"/>
      <c r="E86" s="259" t="s">
        <v>1411</v>
      </c>
      <c r="F86" s="813">
        <v>4</v>
      </c>
      <c r="G86" s="173">
        <v>5000000</v>
      </c>
      <c r="H86" s="173">
        <f t="shared" si="4"/>
        <v>20000000</v>
      </c>
      <c r="I86" s="174"/>
      <c r="J86" s="148"/>
      <c r="K86" s="148"/>
      <c r="L86" s="148"/>
      <c r="M86" s="148"/>
      <c r="N86" s="148"/>
      <c r="O86" s="148"/>
      <c r="P86" s="148"/>
      <c r="Q86" s="148"/>
    </row>
    <row r="87" spans="1:17" s="113" customFormat="1" ht="63">
      <c r="A87" s="171" t="s">
        <v>1258</v>
      </c>
      <c r="B87" s="258" t="s">
        <v>1412</v>
      </c>
      <c r="C87" s="4"/>
      <c r="D87" s="4"/>
      <c r="E87" s="260" t="s">
        <v>32</v>
      </c>
      <c r="F87" s="813">
        <v>4</v>
      </c>
      <c r="G87" s="173">
        <v>1500000</v>
      </c>
      <c r="H87" s="173">
        <f t="shared" si="4"/>
        <v>6000000</v>
      </c>
      <c r="I87" s="174"/>
      <c r="J87" s="148"/>
      <c r="K87" s="148"/>
      <c r="L87" s="148"/>
      <c r="M87" s="148"/>
      <c r="N87" s="148"/>
      <c r="O87" s="148"/>
      <c r="P87" s="148"/>
      <c r="Q87" s="148"/>
    </row>
    <row r="88" spans="1:17" s="113" customFormat="1" ht="47.25">
      <c r="A88" s="171" t="s">
        <v>1391</v>
      </c>
      <c r="B88" s="172" t="s">
        <v>1413</v>
      </c>
      <c r="C88" s="4"/>
      <c r="D88" s="4"/>
      <c r="E88" s="261" t="s">
        <v>1158</v>
      </c>
      <c r="F88" s="813">
        <v>1</v>
      </c>
      <c r="G88" s="173">
        <v>1850000</v>
      </c>
      <c r="H88" s="173">
        <f t="shared" si="4"/>
        <v>1850000</v>
      </c>
      <c r="I88" s="174"/>
      <c r="J88" s="148"/>
      <c r="K88" s="148"/>
      <c r="L88" s="148"/>
      <c r="M88" s="148"/>
      <c r="N88" s="148"/>
      <c r="O88" s="148"/>
      <c r="P88" s="148"/>
      <c r="Q88" s="148"/>
    </row>
    <row r="89" spans="1:17" s="113" customFormat="1" ht="31.5">
      <c r="A89" s="171" t="s">
        <v>1414</v>
      </c>
      <c r="B89" s="258" t="s">
        <v>1415</v>
      </c>
      <c r="C89" s="4"/>
      <c r="D89" s="4"/>
      <c r="E89" s="259" t="s">
        <v>32</v>
      </c>
      <c r="F89" s="813">
        <v>1</v>
      </c>
      <c r="G89" s="173">
        <v>2250000</v>
      </c>
      <c r="H89" s="173">
        <f t="shared" si="4"/>
        <v>2250000</v>
      </c>
      <c r="I89" s="174"/>
      <c r="J89" s="148"/>
      <c r="K89" s="148"/>
      <c r="L89" s="148"/>
      <c r="M89" s="148"/>
      <c r="N89" s="148"/>
      <c r="O89" s="148"/>
      <c r="P89" s="148"/>
      <c r="Q89" s="148"/>
    </row>
    <row r="90" spans="1:17" s="113" customFormat="1" ht="63">
      <c r="A90" s="171" t="s">
        <v>1416</v>
      </c>
      <c r="B90" s="258" t="s">
        <v>1417</v>
      </c>
      <c r="C90" s="4"/>
      <c r="D90" s="4"/>
      <c r="E90" s="261" t="s">
        <v>1158</v>
      </c>
      <c r="F90" s="813">
        <v>1</v>
      </c>
      <c r="G90" s="173">
        <v>4000000</v>
      </c>
      <c r="H90" s="173">
        <f t="shared" si="4"/>
        <v>4000000</v>
      </c>
      <c r="I90" s="174"/>
      <c r="J90" s="148"/>
      <c r="K90" s="148"/>
      <c r="L90" s="148"/>
      <c r="M90" s="148"/>
      <c r="N90" s="148"/>
      <c r="O90" s="148"/>
      <c r="P90" s="148"/>
      <c r="Q90" s="148"/>
    </row>
    <row r="91" spans="1:17" s="113" customFormat="1" ht="63">
      <c r="A91" s="171" t="s">
        <v>1418</v>
      </c>
      <c r="B91" s="258" t="s">
        <v>1419</v>
      </c>
      <c r="C91" s="4"/>
      <c r="D91" s="4"/>
      <c r="E91" s="259" t="s">
        <v>1411</v>
      </c>
      <c r="F91" s="813">
        <v>4</v>
      </c>
      <c r="G91" s="173">
        <v>2500000</v>
      </c>
      <c r="H91" s="173">
        <f t="shared" si="4"/>
        <v>10000000</v>
      </c>
      <c r="I91" s="174"/>
      <c r="J91" s="148"/>
      <c r="K91" s="148"/>
      <c r="L91" s="148"/>
      <c r="M91" s="148"/>
      <c r="N91" s="148"/>
      <c r="O91" s="148"/>
      <c r="P91" s="148"/>
      <c r="Q91" s="148"/>
    </row>
    <row r="92" spans="1:17" s="113" customFormat="1" ht="31.5">
      <c r="A92" s="171" t="s">
        <v>1420</v>
      </c>
      <c r="B92" s="262" t="s">
        <v>1421</v>
      </c>
      <c r="C92" s="4"/>
      <c r="D92" s="4"/>
      <c r="E92" s="263" t="s">
        <v>10</v>
      </c>
      <c r="F92" s="813">
        <v>1</v>
      </c>
      <c r="G92" s="173">
        <v>2500000</v>
      </c>
      <c r="H92" s="173">
        <f t="shared" si="4"/>
        <v>2500000</v>
      </c>
      <c r="I92" s="174"/>
      <c r="J92" s="148"/>
      <c r="K92" s="148"/>
      <c r="L92" s="148"/>
      <c r="M92" s="148"/>
      <c r="N92" s="148"/>
      <c r="O92" s="148"/>
      <c r="P92" s="148"/>
      <c r="Q92" s="148"/>
    </row>
    <row r="93" spans="1:17" s="113" customFormat="1" ht="63">
      <c r="A93" s="171" t="s">
        <v>1422</v>
      </c>
      <c r="B93" s="258" t="s">
        <v>1423</v>
      </c>
      <c r="C93" s="4"/>
      <c r="D93" s="4"/>
      <c r="E93" s="259" t="s">
        <v>1411</v>
      </c>
      <c r="F93" s="813">
        <v>4</v>
      </c>
      <c r="G93" s="173">
        <v>1850000</v>
      </c>
      <c r="H93" s="173">
        <f t="shared" si="4"/>
        <v>7400000</v>
      </c>
      <c r="I93" s="174"/>
      <c r="J93" s="148"/>
      <c r="K93" s="148"/>
      <c r="L93" s="148"/>
      <c r="M93" s="148"/>
      <c r="N93" s="148"/>
      <c r="O93" s="148"/>
      <c r="P93" s="148"/>
      <c r="Q93" s="148"/>
    </row>
    <row r="94" spans="1:17" s="113" customFormat="1" ht="31.5">
      <c r="A94" s="171" t="s">
        <v>1424</v>
      </c>
      <c r="B94" s="262" t="s">
        <v>1425</v>
      </c>
      <c r="C94" s="4"/>
      <c r="D94" s="4"/>
      <c r="E94" s="259" t="s">
        <v>32</v>
      </c>
      <c r="F94" s="813">
        <v>4</v>
      </c>
      <c r="G94" s="173">
        <v>1050000</v>
      </c>
      <c r="H94" s="173">
        <f t="shared" si="4"/>
        <v>4200000</v>
      </c>
      <c r="I94" s="174"/>
      <c r="J94" s="148"/>
      <c r="K94" s="148"/>
      <c r="L94" s="148"/>
      <c r="M94" s="148"/>
      <c r="N94" s="148"/>
      <c r="O94" s="148"/>
      <c r="P94" s="148"/>
      <c r="Q94" s="148"/>
    </row>
    <row r="95" spans="1:17" s="113" customFormat="1" ht="31.5">
      <c r="A95" s="171" t="s">
        <v>1426</v>
      </c>
      <c r="B95" s="262" t="s">
        <v>1427</v>
      </c>
      <c r="C95" s="4"/>
      <c r="D95" s="4"/>
      <c r="E95" s="70" t="s">
        <v>1428</v>
      </c>
      <c r="F95" s="813">
        <v>4</v>
      </c>
      <c r="G95" s="173">
        <v>750000</v>
      </c>
      <c r="H95" s="173">
        <f t="shared" si="4"/>
        <v>3000000</v>
      </c>
      <c r="I95" s="174"/>
      <c r="J95" s="148"/>
      <c r="K95" s="148"/>
      <c r="L95" s="148"/>
      <c r="M95" s="148"/>
      <c r="N95" s="148"/>
      <c r="O95" s="148"/>
      <c r="P95" s="148"/>
      <c r="Q95" s="148"/>
    </row>
    <row r="96" spans="1:17" s="113" customFormat="1" ht="47.25">
      <c r="A96" s="171" t="s">
        <v>1429</v>
      </c>
      <c r="B96" s="262" t="s">
        <v>1430</v>
      </c>
      <c r="C96" s="4"/>
      <c r="D96" s="4"/>
      <c r="E96" s="259" t="s">
        <v>10</v>
      </c>
      <c r="F96" s="813">
        <v>1</v>
      </c>
      <c r="G96" s="173">
        <v>5500000</v>
      </c>
      <c r="H96" s="173">
        <f t="shared" si="4"/>
        <v>5500000</v>
      </c>
      <c r="I96" s="174"/>
      <c r="J96" s="148"/>
      <c r="K96" s="148"/>
      <c r="L96" s="148"/>
      <c r="M96" s="148"/>
      <c r="N96" s="148"/>
      <c r="O96" s="148"/>
      <c r="P96" s="148"/>
      <c r="Q96" s="148"/>
    </row>
    <row r="97" spans="1:17" s="113" customFormat="1" ht="18.75">
      <c r="A97" s="171" t="s">
        <v>1431</v>
      </c>
      <c r="B97" s="262" t="s">
        <v>1432</v>
      </c>
      <c r="C97" s="4"/>
      <c r="D97" s="4"/>
      <c r="E97" s="263" t="s">
        <v>1433</v>
      </c>
      <c r="F97" s="813">
        <v>1</v>
      </c>
      <c r="G97" s="173">
        <v>5500000</v>
      </c>
      <c r="H97" s="173">
        <f t="shared" si="4"/>
        <v>5500000</v>
      </c>
      <c r="I97" s="174"/>
      <c r="J97" s="148"/>
      <c r="K97" s="148"/>
      <c r="L97" s="148"/>
      <c r="M97" s="148"/>
      <c r="N97" s="148"/>
      <c r="O97" s="148"/>
      <c r="P97" s="148"/>
      <c r="Q97" s="148"/>
    </row>
    <row r="98" spans="1:17" s="113" customFormat="1" ht="31.5">
      <c r="A98" s="171" t="s">
        <v>1434</v>
      </c>
      <c r="B98" s="262" t="s">
        <v>1435</v>
      </c>
      <c r="C98" s="4"/>
      <c r="D98" s="4"/>
      <c r="E98" s="263" t="s">
        <v>26</v>
      </c>
      <c r="F98" s="813">
        <v>1</v>
      </c>
      <c r="G98" s="173">
        <v>2000000</v>
      </c>
      <c r="H98" s="173">
        <f t="shared" si="4"/>
        <v>2000000</v>
      </c>
      <c r="I98" s="174"/>
      <c r="J98" s="148"/>
      <c r="K98" s="148"/>
      <c r="L98" s="148"/>
      <c r="M98" s="148"/>
      <c r="N98" s="148"/>
      <c r="O98" s="148"/>
      <c r="P98" s="148"/>
      <c r="Q98" s="148"/>
    </row>
    <row r="99" spans="1:17" s="113" customFormat="1" ht="31.5">
      <c r="A99" s="171" t="s">
        <v>1436</v>
      </c>
      <c r="B99" s="262" t="s">
        <v>1437</v>
      </c>
      <c r="C99" s="4"/>
      <c r="D99" s="4"/>
      <c r="E99" s="263" t="s">
        <v>26</v>
      </c>
      <c r="F99" s="813">
        <v>1</v>
      </c>
      <c r="G99" s="173">
        <v>2000000</v>
      </c>
      <c r="H99" s="173">
        <f t="shared" si="4"/>
        <v>2000000</v>
      </c>
      <c r="I99" s="174"/>
      <c r="J99" s="148"/>
      <c r="K99" s="148"/>
      <c r="L99" s="148"/>
      <c r="M99" s="148"/>
      <c r="N99" s="148"/>
      <c r="O99" s="148"/>
      <c r="P99" s="148"/>
      <c r="Q99" s="148"/>
    </row>
    <row r="100" spans="1:17" s="113" customFormat="1" ht="18.75">
      <c r="A100" s="171" t="s">
        <v>1438</v>
      </c>
      <c r="B100" s="262" t="s">
        <v>1439</v>
      </c>
      <c r="C100" s="4"/>
      <c r="D100" s="4"/>
      <c r="E100" s="263" t="s">
        <v>26</v>
      </c>
      <c r="F100" s="813">
        <v>1</v>
      </c>
      <c r="G100" s="173">
        <v>4500000</v>
      </c>
      <c r="H100" s="173">
        <f t="shared" si="4"/>
        <v>4500000</v>
      </c>
      <c r="I100" s="174"/>
      <c r="J100" s="148"/>
      <c r="K100" s="148"/>
      <c r="L100" s="148"/>
      <c r="M100" s="148"/>
      <c r="N100" s="148"/>
      <c r="O100" s="148"/>
      <c r="P100" s="148"/>
      <c r="Q100" s="148"/>
    </row>
    <row r="101" spans="1:17" s="113" customFormat="1" ht="47.25">
      <c r="A101" s="171" t="s">
        <v>1440</v>
      </c>
      <c r="B101" s="8" t="s">
        <v>1441</v>
      </c>
      <c r="C101" s="4"/>
      <c r="D101" s="4"/>
      <c r="E101" s="7" t="s">
        <v>10</v>
      </c>
      <c r="F101" s="813">
        <v>1</v>
      </c>
      <c r="G101" s="173">
        <v>3850000</v>
      </c>
      <c r="H101" s="173">
        <f t="shared" si="4"/>
        <v>3850000</v>
      </c>
      <c r="I101" s="174"/>
      <c r="J101" s="854"/>
      <c r="K101" s="855"/>
      <c r="L101" s="855"/>
      <c r="M101" s="855"/>
      <c r="N101" s="855"/>
      <c r="O101" s="855"/>
      <c r="P101" s="855"/>
      <c r="Q101" s="855"/>
    </row>
    <row r="102" spans="1:17" s="113" customFormat="1" ht="47.25">
      <c r="A102" s="171" t="s">
        <v>1442</v>
      </c>
      <c r="B102" s="8" t="s">
        <v>1443</v>
      </c>
      <c r="C102" s="4"/>
      <c r="D102" s="4"/>
      <c r="E102" s="7" t="s">
        <v>10</v>
      </c>
      <c r="F102" s="813">
        <v>1</v>
      </c>
      <c r="G102" s="173">
        <v>3850000</v>
      </c>
      <c r="H102" s="173">
        <f t="shared" si="4"/>
        <v>3850000</v>
      </c>
      <c r="I102" s="174"/>
      <c r="J102" s="148"/>
      <c r="K102" s="148"/>
      <c r="L102" s="148"/>
      <c r="M102" s="148"/>
      <c r="N102" s="148"/>
      <c r="O102" s="148"/>
      <c r="P102" s="148"/>
      <c r="Q102" s="148"/>
    </row>
    <row r="103" spans="1:17" s="113" customFormat="1" ht="47.25">
      <c r="A103" s="264" t="s">
        <v>1444</v>
      </c>
      <c r="B103" s="265" t="s">
        <v>1445</v>
      </c>
      <c r="C103" s="75"/>
      <c r="D103" s="75"/>
      <c r="E103" s="80" t="s">
        <v>32</v>
      </c>
      <c r="F103" s="833">
        <v>1</v>
      </c>
      <c r="G103" s="266">
        <v>7000000</v>
      </c>
      <c r="H103" s="173">
        <f t="shared" si="4"/>
        <v>7000000</v>
      </c>
      <c r="I103" s="267"/>
      <c r="J103" s="148"/>
      <c r="K103" s="148"/>
      <c r="L103" s="148"/>
      <c r="M103" s="148"/>
      <c r="N103" s="148"/>
      <c r="O103" s="148"/>
      <c r="P103" s="148"/>
      <c r="Q103" s="148"/>
    </row>
    <row r="104" spans="1:17" s="113" customFormat="1" ht="18.75">
      <c r="A104" s="4">
        <v>2</v>
      </c>
      <c r="B104" s="203" t="s">
        <v>1338</v>
      </c>
      <c r="C104" s="122"/>
      <c r="D104" s="204"/>
      <c r="E104" s="204"/>
      <c r="F104" s="819"/>
      <c r="G104" s="205"/>
      <c r="H104" s="6"/>
      <c r="I104" s="206"/>
      <c r="J104" s="148"/>
      <c r="K104" s="148"/>
      <c r="L104" s="148"/>
      <c r="M104" s="148"/>
      <c r="N104" s="148"/>
      <c r="O104" s="148"/>
      <c r="P104" s="148"/>
      <c r="Q104" s="148"/>
    </row>
    <row r="105" spans="1:17" s="113" customFormat="1" ht="31.5">
      <c r="A105" s="63" t="s">
        <v>139</v>
      </c>
      <c r="B105" s="256" t="s">
        <v>1408</v>
      </c>
      <c r="C105" s="63"/>
      <c r="D105" s="268"/>
      <c r="E105" s="63" t="s">
        <v>26</v>
      </c>
      <c r="F105" s="834">
        <v>1</v>
      </c>
      <c r="G105" s="269"/>
      <c r="H105" s="64"/>
      <c r="I105" s="270"/>
      <c r="J105" s="148"/>
      <c r="K105" s="148"/>
      <c r="L105" s="148"/>
      <c r="M105" s="148"/>
      <c r="N105" s="148"/>
      <c r="O105" s="148"/>
      <c r="P105" s="148"/>
      <c r="Q105" s="148"/>
    </row>
    <row r="106" spans="1:17" s="113" customFormat="1" ht="18.75">
      <c r="A106" s="7" t="s">
        <v>51</v>
      </c>
      <c r="B106" s="262" t="s">
        <v>1446</v>
      </c>
      <c r="C106" s="70"/>
      <c r="D106" s="136" t="s">
        <v>39</v>
      </c>
      <c r="E106" s="70" t="s">
        <v>40</v>
      </c>
      <c r="F106" s="835">
        <v>15</v>
      </c>
      <c r="G106" s="213">
        <v>18000</v>
      </c>
      <c r="H106" s="9">
        <f t="shared" ref="H106:H137" si="5">+G106*F106</f>
        <v>270000</v>
      </c>
      <c r="I106" s="206"/>
      <c r="J106" s="148"/>
      <c r="K106" s="148"/>
      <c r="L106" s="148"/>
      <c r="M106" s="148"/>
      <c r="N106" s="148"/>
      <c r="O106" s="148"/>
      <c r="P106" s="148"/>
      <c r="Q106" s="148"/>
    </row>
    <row r="107" spans="1:17" s="113" customFormat="1" ht="18.75">
      <c r="A107" s="7" t="s">
        <v>1262</v>
      </c>
      <c r="B107" s="262" t="s">
        <v>1447</v>
      </c>
      <c r="C107" s="70"/>
      <c r="D107" s="136" t="s">
        <v>39</v>
      </c>
      <c r="E107" s="70" t="s">
        <v>40</v>
      </c>
      <c r="F107" s="835">
        <v>2.5</v>
      </c>
      <c r="G107" s="213">
        <v>87000</v>
      </c>
      <c r="H107" s="9">
        <f t="shared" si="5"/>
        <v>217500</v>
      </c>
      <c r="I107" s="206"/>
      <c r="J107" s="148"/>
      <c r="K107" s="148"/>
      <c r="L107" s="148"/>
      <c r="M107" s="148"/>
      <c r="N107" s="148"/>
      <c r="O107" s="148"/>
      <c r="P107" s="148"/>
      <c r="Q107" s="148"/>
    </row>
    <row r="108" spans="1:17" s="113" customFormat="1" ht="18.75">
      <c r="A108" s="7" t="s">
        <v>1265</v>
      </c>
      <c r="B108" s="262" t="s">
        <v>1448</v>
      </c>
      <c r="C108" s="70"/>
      <c r="D108" s="136" t="s">
        <v>39</v>
      </c>
      <c r="E108" s="70" t="s">
        <v>44</v>
      </c>
      <c r="F108" s="835">
        <v>7.5</v>
      </c>
      <c r="G108" s="213">
        <v>16000</v>
      </c>
      <c r="H108" s="9">
        <f t="shared" si="5"/>
        <v>120000</v>
      </c>
      <c r="I108" s="206"/>
      <c r="J108" s="148"/>
      <c r="K108" s="148"/>
      <c r="L108" s="148"/>
      <c r="M108" s="148"/>
      <c r="N108" s="148"/>
      <c r="O108" s="148"/>
      <c r="P108" s="148"/>
      <c r="Q108" s="148"/>
    </row>
    <row r="109" spans="1:17" s="113" customFormat="1" ht="18.75">
      <c r="A109" s="7" t="s">
        <v>1343</v>
      </c>
      <c r="B109" s="262" t="s">
        <v>1449</v>
      </c>
      <c r="C109" s="70"/>
      <c r="D109" s="263"/>
      <c r="E109" s="70" t="s">
        <v>40</v>
      </c>
      <c r="F109" s="835">
        <v>7.5</v>
      </c>
      <c r="G109" s="213">
        <v>46000</v>
      </c>
      <c r="H109" s="9">
        <f t="shared" si="5"/>
        <v>345000</v>
      </c>
      <c r="I109" s="206"/>
      <c r="J109" s="148"/>
      <c r="K109" s="148"/>
      <c r="L109" s="148"/>
      <c r="M109" s="148"/>
      <c r="N109" s="148"/>
      <c r="O109" s="148"/>
      <c r="P109" s="148"/>
      <c r="Q109" s="148"/>
    </row>
    <row r="110" spans="1:17" s="113" customFormat="1" ht="18.75">
      <c r="A110" s="7" t="s">
        <v>1345</v>
      </c>
      <c r="B110" s="262" t="s">
        <v>1450</v>
      </c>
      <c r="C110" s="70"/>
      <c r="D110" s="263"/>
      <c r="E110" s="70" t="s">
        <v>40</v>
      </c>
      <c r="F110" s="835">
        <v>5</v>
      </c>
      <c r="G110" s="213">
        <v>61000</v>
      </c>
      <c r="H110" s="9">
        <f t="shared" si="5"/>
        <v>305000</v>
      </c>
      <c r="I110" s="206"/>
      <c r="J110" s="148"/>
      <c r="K110" s="148"/>
      <c r="L110" s="148"/>
      <c r="M110" s="148"/>
      <c r="N110" s="148"/>
      <c r="O110" s="148"/>
      <c r="P110" s="148"/>
      <c r="Q110" s="148"/>
    </row>
    <row r="111" spans="1:17" s="113" customFormat="1" ht="18.75">
      <c r="A111" s="7" t="s">
        <v>1347</v>
      </c>
      <c r="B111" s="262" t="s">
        <v>1451</v>
      </c>
      <c r="C111" s="70"/>
      <c r="D111" s="271" t="s">
        <v>1452</v>
      </c>
      <c r="E111" s="70" t="s">
        <v>44</v>
      </c>
      <c r="F111" s="835">
        <v>0.15</v>
      </c>
      <c r="G111" s="213">
        <v>1250000</v>
      </c>
      <c r="H111" s="9">
        <f t="shared" si="5"/>
        <v>187500</v>
      </c>
      <c r="I111" s="206"/>
      <c r="J111" s="148"/>
      <c r="K111" s="148"/>
      <c r="L111" s="148"/>
      <c r="M111" s="148"/>
      <c r="N111" s="148"/>
      <c r="O111" s="148"/>
      <c r="P111" s="148"/>
      <c r="Q111" s="148"/>
    </row>
    <row r="112" spans="1:17" s="113" customFormat="1" ht="18.75">
      <c r="A112" s="7" t="s">
        <v>1361</v>
      </c>
      <c r="B112" s="262" t="s">
        <v>1453</v>
      </c>
      <c r="C112" s="70"/>
      <c r="D112" s="271" t="s">
        <v>1452</v>
      </c>
      <c r="E112" s="70" t="s">
        <v>57</v>
      </c>
      <c r="F112" s="835">
        <v>1.5</v>
      </c>
      <c r="G112" s="213">
        <v>65000</v>
      </c>
      <c r="H112" s="9">
        <f t="shared" si="5"/>
        <v>97500</v>
      </c>
      <c r="I112" s="206"/>
      <c r="J112" s="148"/>
      <c r="K112" s="148"/>
      <c r="L112" s="148"/>
      <c r="M112" s="148"/>
      <c r="N112" s="148"/>
      <c r="O112" s="148"/>
      <c r="P112" s="148"/>
      <c r="Q112" s="148"/>
    </row>
    <row r="113" spans="1:17" s="113" customFormat="1" ht="18.75">
      <c r="A113" s="7" t="s">
        <v>1363</v>
      </c>
      <c r="B113" s="262" t="s">
        <v>1454</v>
      </c>
      <c r="C113" s="70"/>
      <c r="D113" s="136" t="s">
        <v>39</v>
      </c>
      <c r="E113" s="70" t="s">
        <v>57</v>
      </c>
      <c r="F113" s="835">
        <v>1.5</v>
      </c>
      <c r="G113" s="213">
        <v>135000</v>
      </c>
      <c r="H113" s="9">
        <f t="shared" si="5"/>
        <v>202500</v>
      </c>
      <c r="I113" s="206"/>
      <c r="J113" s="148"/>
      <c r="K113" s="148"/>
      <c r="L113" s="148"/>
      <c r="M113" s="148"/>
      <c r="N113" s="148"/>
      <c r="O113" s="148"/>
      <c r="P113" s="148"/>
      <c r="Q113" s="148"/>
    </row>
    <row r="114" spans="1:17" s="113" customFormat="1" ht="18.75">
      <c r="A114" s="7" t="s">
        <v>1365</v>
      </c>
      <c r="B114" s="262" t="s">
        <v>1455</v>
      </c>
      <c r="C114" s="70"/>
      <c r="D114" s="263"/>
      <c r="E114" s="70" t="s">
        <v>32</v>
      </c>
      <c r="F114" s="835">
        <v>1</v>
      </c>
      <c r="G114" s="213">
        <v>1250000</v>
      </c>
      <c r="H114" s="9">
        <f t="shared" si="5"/>
        <v>1250000</v>
      </c>
      <c r="I114" s="206"/>
      <c r="J114" s="148"/>
      <c r="K114" s="148"/>
      <c r="L114" s="148"/>
      <c r="M114" s="148"/>
      <c r="N114" s="148"/>
      <c r="O114" s="148"/>
      <c r="P114" s="148"/>
      <c r="Q114" s="148"/>
    </row>
    <row r="115" spans="1:17" s="113" customFormat="1" ht="18.75">
      <c r="A115" s="7" t="s">
        <v>1367</v>
      </c>
      <c r="B115" s="262" t="s">
        <v>1456</v>
      </c>
      <c r="C115" s="70"/>
      <c r="D115" s="136" t="s">
        <v>39</v>
      </c>
      <c r="E115" s="70" t="s">
        <v>57</v>
      </c>
      <c r="F115" s="835">
        <v>0.5</v>
      </c>
      <c r="G115" s="213">
        <v>468000</v>
      </c>
      <c r="H115" s="9">
        <f t="shared" si="5"/>
        <v>234000</v>
      </c>
      <c r="I115" s="206"/>
      <c r="J115" s="148"/>
      <c r="K115" s="148"/>
      <c r="L115" s="148"/>
      <c r="M115" s="148"/>
      <c r="N115" s="148"/>
      <c r="O115" s="148"/>
      <c r="P115" s="148"/>
      <c r="Q115" s="148"/>
    </row>
    <row r="116" spans="1:17" s="113" customFormat="1" ht="18.75">
      <c r="A116" s="7" t="s">
        <v>1457</v>
      </c>
      <c r="B116" s="262" t="s">
        <v>1458</v>
      </c>
      <c r="C116" s="70"/>
      <c r="D116" s="263"/>
      <c r="E116" s="70" t="s">
        <v>10</v>
      </c>
      <c r="F116" s="835">
        <v>4</v>
      </c>
      <c r="G116" s="213">
        <v>95000</v>
      </c>
      <c r="H116" s="9">
        <f t="shared" si="5"/>
        <v>380000</v>
      </c>
      <c r="I116" s="206"/>
      <c r="J116" s="148"/>
      <c r="K116" s="148"/>
      <c r="L116" s="148"/>
      <c r="M116" s="148"/>
      <c r="N116" s="148"/>
      <c r="O116" s="148"/>
      <c r="P116" s="148"/>
      <c r="Q116" s="148"/>
    </row>
    <row r="117" spans="1:17" s="113" customFormat="1" ht="18.75">
      <c r="A117" s="7" t="s">
        <v>1459</v>
      </c>
      <c r="B117" s="262" t="s">
        <v>1460</v>
      </c>
      <c r="C117" s="70"/>
      <c r="D117" s="263"/>
      <c r="E117" s="70" t="s">
        <v>10</v>
      </c>
      <c r="F117" s="835">
        <v>4</v>
      </c>
      <c r="G117" s="213">
        <v>95000</v>
      </c>
      <c r="H117" s="9">
        <f t="shared" si="5"/>
        <v>380000</v>
      </c>
      <c r="I117" s="206"/>
      <c r="J117" s="148"/>
      <c r="K117" s="148"/>
      <c r="L117" s="148"/>
      <c r="M117" s="148"/>
      <c r="N117" s="148"/>
      <c r="O117" s="148"/>
      <c r="P117" s="148"/>
      <c r="Q117" s="148"/>
    </row>
    <row r="118" spans="1:17" s="113" customFormat="1" ht="18.75">
      <c r="A118" s="7" t="s">
        <v>1461</v>
      </c>
      <c r="B118" s="262" t="s">
        <v>1462</v>
      </c>
      <c r="C118" s="70"/>
      <c r="D118" s="263"/>
      <c r="E118" s="70" t="s">
        <v>32</v>
      </c>
      <c r="F118" s="835">
        <v>1</v>
      </c>
      <c r="G118" s="213">
        <v>450000</v>
      </c>
      <c r="H118" s="9">
        <f t="shared" si="5"/>
        <v>450000</v>
      </c>
      <c r="I118" s="206"/>
      <c r="J118" s="148"/>
      <c r="K118" s="148"/>
      <c r="L118" s="148"/>
      <c r="M118" s="148"/>
      <c r="N118" s="148"/>
      <c r="O118" s="148"/>
      <c r="P118" s="148"/>
      <c r="Q118" s="148"/>
    </row>
    <row r="119" spans="1:17" s="113" customFormat="1" ht="18.75">
      <c r="A119" s="7" t="s">
        <v>1463</v>
      </c>
      <c r="B119" s="262" t="s">
        <v>1464</v>
      </c>
      <c r="C119" s="70"/>
      <c r="D119" s="272"/>
      <c r="E119" s="70" t="s">
        <v>63</v>
      </c>
      <c r="F119" s="835">
        <v>0.5</v>
      </c>
      <c r="G119" s="213">
        <v>420000</v>
      </c>
      <c r="H119" s="9">
        <f t="shared" si="5"/>
        <v>210000</v>
      </c>
      <c r="I119" s="206"/>
      <c r="J119" s="148"/>
      <c r="K119" s="148"/>
      <c r="L119" s="148"/>
      <c r="M119" s="148"/>
      <c r="N119" s="148"/>
      <c r="O119" s="148"/>
      <c r="P119" s="148"/>
      <c r="Q119" s="148"/>
    </row>
    <row r="120" spans="1:17" s="113" customFormat="1" ht="18.75">
      <c r="A120" s="7" t="s">
        <v>1465</v>
      </c>
      <c r="B120" s="262" t="s">
        <v>1466</v>
      </c>
      <c r="C120" s="70"/>
      <c r="D120" s="263"/>
      <c r="E120" s="70" t="s">
        <v>10</v>
      </c>
      <c r="F120" s="835">
        <v>5</v>
      </c>
      <c r="G120" s="213">
        <v>55000</v>
      </c>
      <c r="H120" s="9">
        <f t="shared" si="5"/>
        <v>275000</v>
      </c>
      <c r="I120" s="206"/>
      <c r="J120" s="148"/>
      <c r="K120" s="148"/>
      <c r="L120" s="148"/>
      <c r="M120" s="148"/>
      <c r="N120" s="148"/>
      <c r="O120" s="148"/>
      <c r="P120" s="148"/>
      <c r="Q120" s="148"/>
    </row>
    <row r="121" spans="1:17" s="113" customFormat="1" ht="18.75">
      <c r="A121" s="7" t="s">
        <v>1467</v>
      </c>
      <c r="B121" s="262" t="s">
        <v>1468</v>
      </c>
      <c r="C121" s="70"/>
      <c r="D121" s="272"/>
      <c r="E121" s="70" t="s">
        <v>106</v>
      </c>
      <c r="F121" s="835">
        <v>0.5</v>
      </c>
      <c r="G121" s="213">
        <v>1250000</v>
      </c>
      <c r="H121" s="9">
        <f t="shared" si="5"/>
        <v>625000</v>
      </c>
      <c r="I121" s="206"/>
      <c r="J121" s="148"/>
      <c r="K121" s="148"/>
      <c r="L121" s="148"/>
      <c r="M121" s="148"/>
      <c r="N121" s="148"/>
      <c r="O121" s="148"/>
      <c r="P121" s="148"/>
      <c r="Q121" s="148"/>
    </row>
    <row r="122" spans="1:17" s="113" customFormat="1" ht="31.5">
      <c r="A122" s="7" t="s">
        <v>1469</v>
      </c>
      <c r="B122" s="262" t="s">
        <v>1470</v>
      </c>
      <c r="C122" s="70"/>
      <c r="D122" s="263"/>
      <c r="E122" s="70" t="s">
        <v>32</v>
      </c>
      <c r="F122" s="835">
        <v>4</v>
      </c>
      <c r="G122" s="213">
        <v>5000000</v>
      </c>
      <c r="H122" s="9">
        <f t="shared" si="5"/>
        <v>20000000</v>
      </c>
      <c r="I122" s="184"/>
      <c r="J122" s="148"/>
      <c r="K122" s="148"/>
      <c r="L122" s="148"/>
      <c r="M122" s="148"/>
      <c r="N122" s="148"/>
      <c r="O122" s="148"/>
      <c r="P122" s="148"/>
      <c r="Q122" s="148"/>
    </row>
    <row r="123" spans="1:17" s="113" customFormat="1" ht="31.5">
      <c r="A123" s="7" t="s">
        <v>1471</v>
      </c>
      <c r="B123" s="262" t="s">
        <v>1472</v>
      </c>
      <c r="C123" s="70"/>
      <c r="D123" s="263"/>
      <c r="E123" s="70" t="s">
        <v>1158</v>
      </c>
      <c r="F123" s="835">
        <v>1</v>
      </c>
      <c r="G123" s="213">
        <v>10000000</v>
      </c>
      <c r="H123" s="9">
        <f t="shared" si="5"/>
        <v>10000000</v>
      </c>
      <c r="I123" s="184"/>
      <c r="J123" s="148"/>
      <c r="K123" s="148"/>
      <c r="L123" s="148"/>
      <c r="M123" s="148"/>
      <c r="N123" s="148"/>
      <c r="O123" s="148"/>
      <c r="P123" s="148"/>
      <c r="Q123" s="148"/>
    </row>
    <row r="124" spans="1:17" s="113" customFormat="1" ht="18.75">
      <c r="A124" s="7" t="s">
        <v>1473</v>
      </c>
      <c r="B124" s="262" t="s">
        <v>1474</v>
      </c>
      <c r="C124" s="70"/>
      <c r="D124" s="263"/>
      <c r="E124" s="70" t="s">
        <v>10</v>
      </c>
      <c r="F124" s="835">
        <v>1</v>
      </c>
      <c r="G124" s="213">
        <v>850000</v>
      </c>
      <c r="H124" s="9">
        <f t="shared" si="5"/>
        <v>850000</v>
      </c>
      <c r="I124" s="206"/>
      <c r="J124" s="148"/>
      <c r="K124" s="148"/>
      <c r="L124" s="148"/>
      <c r="M124" s="148"/>
      <c r="N124" s="148"/>
      <c r="O124" s="148"/>
      <c r="P124" s="148"/>
      <c r="Q124" s="148"/>
    </row>
    <row r="125" spans="1:17" s="113" customFormat="1" ht="18.75">
      <c r="A125" s="7" t="s">
        <v>1475</v>
      </c>
      <c r="B125" s="273" t="s">
        <v>1476</v>
      </c>
      <c r="C125" s="133"/>
      <c r="D125" s="136" t="s">
        <v>39</v>
      </c>
      <c r="E125" s="133" t="s">
        <v>63</v>
      </c>
      <c r="F125" s="836">
        <v>0.75</v>
      </c>
      <c r="G125" s="213">
        <v>26000</v>
      </c>
      <c r="H125" s="9">
        <f t="shared" si="5"/>
        <v>19500</v>
      </c>
      <c r="I125" s="206"/>
      <c r="J125" s="148"/>
      <c r="K125" s="148"/>
      <c r="L125" s="148"/>
      <c r="M125" s="148"/>
      <c r="N125" s="148"/>
      <c r="O125" s="148"/>
      <c r="P125" s="148"/>
      <c r="Q125" s="148"/>
    </row>
    <row r="126" spans="1:17" s="113" customFormat="1" ht="18.75">
      <c r="A126" s="7" t="s">
        <v>1477</v>
      </c>
      <c r="B126" s="274" t="s">
        <v>1478</v>
      </c>
      <c r="C126" s="133"/>
      <c r="D126" s="136" t="s">
        <v>39</v>
      </c>
      <c r="E126" s="133" t="s">
        <v>46</v>
      </c>
      <c r="F126" s="836">
        <v>2</v>
      </c>
      <c r="G126" s="213">
        <v>7500</v>
      </c>
      <c r="H126" s="9">
        <f t="shared" si="5"/>
        <v>15000</v>
      </c>
      <c r="I126" s="206"/>
      <c r="J126" s="148"/>
      <c r="K126" s="148"/>
      <c r="L126" s="148"/>
      <c r="M126" s="148"/>
      <c r="N126" s="148"/>
      <c r="O126" s="148"/>
      <c r="P126" s="148"/>
      <c r="Q126" s="148"/>
    </row>
    <row r="127" spans="1:17" s="113" customFormat="1" ht="18.75">
      <c r="A127" s="7" t="s">
        <v>1479</v>
      </c>
      <c r="B127" s="8" t="s">
        <v>1480</v>
      </c>
      <c r="C127" s="7" t="s">
        <v>1481</v>
      </c>
      <c r="D127" s="7" t="s">
        <v>39</v>
      </c>
      <c r="E127" s="7" t="s">
        <v>93</v>
      </c>
      <c r="F127" s="824">
        <v>0.5</v>
      </c>
      <c r="G127" s="213">
        <v>285000</v>
      </c>
      <c r="H127" s="9">
        <f t="shared" si="5"/>
        <v>142500</v>
      </c>
      <c r="I127" s="206"/>
      <c r="J127" s="148"/>
      <c r="K127" s="148"/>
      <c r="L127" s="148"/>
      <c r="M127" s="148"/>
      <c r="N127" s="148"/>
      <c r="O127" s="148"/>
      <c r="P127" s="148"/>
      <c r="Q127" s="148"/>
    </row>
    <row r="128" spans="1:17" s="113" customFormat="1" ht="18.75">
      <c r="A128" s="7" t="s">
        <v>1482</v>
      </c>
      <c r="B128" s="8" t="s">
        <v>1483</v>
      </c>
      <c r="C128" s="7"/>
      <c r="D128" s="7" t="s">
        <v>39</v>
      </c>
      <c r="E128" s="7" t="s">
        <v>286</v>
      </c>
      <c r="F128" s="824">
        <v>5</v>
      </c>
      <c r="G128" s="213">
        <v>9000</v>
      </c>
      <c r="H128" s="9">
        <f t="shared" si="5"/>
        <v>45000</v>
      </c>
      <c r="I128" s="206"/>
      <c r="J128" s="148"/>
      <c r="K128" s="148"/>
      <c r="L128" s="148"/>
      <c r="M128" s="148"/>
      <c r="N128" s="148"/>
      <c r="O128" s="148"/>
      <c r="P128" s="148"/>
      <c r="Q128" s="148"/>
    </row>
    <row r="129" spans="1:17" s="113" customFormat="1" ht="18.75">
      <c r="A129" s="7" t="s">
        <v>1484</v>
      </c>
      <c r="B129" s="8" t="s">
        <v>1366</v>
      </c>
      <c r="C129" s="7" t="s">
        <v>1485</v>
      </c>
      <c r="D129" s="7" t="s">
        <v>39</v>
      </c>
      <c r="E129" s="7" t="s">
        <v>32</v>
      </c>
      <c r="F129" s="824">
        <v>15</v>
      </c>
      <c r="G129" s="213">
        <v>12500</v>
      </c>
      <c r="H129" s="9">
        <f t="shared" si="5"/>
        <v>187500</v>
      </c>
      <c r="I129" s="206"/>
      <c r="J129" s="148"/>
      <c r="K129" s="148"/>
      <c r="L129" s="148"/>
      <c r="M129" s="148"/>
      <c r="N129" s="148"/>
      <c r="O129" s="148"/>
      <c r="P129" s="148"/>
      <c r="Q129" s="148"/>
    </row>
    <row r="130" spans="1:17" s="113" customFormat="1" ht="18.75">
      <c r="A130" s="7" t="s">
        <v>1486</v>
      </c>
      <c r="B130" s="8" t="s">
        <v>1366</v>
      </c>
      <c r="C130" s="7" t="s">
        <v>1487</v>
      </c>
      <c r="D130" s="7" t="s">
        <v>39</v>
      </c>
      <c r="E130" s="7" t="s">
        <v>32</v>
      </c>
      <c r="F130" s="824">
        <v>15</v>
      </c>
      <c r="G130" s="213">
        <v>14500</v>
      </c>
      <c r="H130" s="9">
        <f t="shared" si="5"/>
        <v>217500</v>
      </c>
      <c r="I130" s="206"/>
      <c r="J130" s="148"/>
      <c r="K130" s="148"/>
      <c r="L130" s="148"/>
      <c r="M130" s="148"/>
      <c r="N130" s="148"/>
      <c r="O130" s="148"/>
      <c r="P130" s="148"/>
      <c r="Q130" s="148"/>
    </row>
    <row r="131" spans="1:17" s="134" customFormat="1" ht="18.75">
      <c r="A131" s="76" t="s">
        <v>1488</v>
      </c>
      <c r="B131" s="78" t="s">
        <v>1489</v>
      </c>
      <c r="C131" s="76"/>
      <c r="D131" s="76" t="s">
        <v>1121</v>
      </c>
      <c r="E131" s="76" t="s">
        <v>32</v>
      </c>
      <c r="F131" s="824">
        <v>4</v>
      </c>
      <c r="G131" s="275">
        <v>11265100</v>
      </c>
      <c r="H131" s="77">
        <f t="shared" si="5"/>
        <v>45060400</v>
      </c>
      <c r="I131" s="276"/>
      <c r="J131" s="277"/>
      <c r="K131" s="277"/>
      <c r="L131" s="277"/>
      <c r="M131" s="277"/>
      <c r="N131" s="277"/>
      <c r="O131" s="277"/>
      <c r="P131" s="277"/>
      <c r="Q131" s="277"/>
    </row>
    <row r="132" spans="1:17" s="134" customFormat="1" ht="18.75">
      <c r="A132" s="76" t="s">
        <v>1490</v>
      </c>
      <c r="B132" s="78" t="s">
        <v>1491</v>
      </c>
      <c r="C132" s="76"/>
      <c r="D132" s="76" t="s">
        <v>1121</v>
      </c>
      <c r="E132" s="76" t="s">
        <v>32</v>
      </c>
      <c r="F132" s="824">
        <v>4</v>
      </c>
      <c r="G132" s="275">
        <v>2362800</v>
      </c>
      <c r="H132" s="77">
        <f t="shared" si="5"/>
        <v>9451200</v>
      </c>
      <c r="I132" s="276"/>
      <c r="J132" s="277"/>
      <c r="K132" s="277"/>
      <c r="L132" s="277"/>
      <c r="M132" s="277"/>
      <c r="N132" s="277"/>
      <c r="O132" s="277"/>
      <c r="P132" s="277"/>
      <c r="Q132" s="277"/>
    </row>
    <row r="133" spans="1:17" s="134" customFormat="1" ht="18.75">
      <c r="A133" s="76" t="s">
        <v>1492</v>
      </c>
      <c r="B133" s="78" t="s">
        <v>1493</v>
      </c>
      <c r="C133" s="76"/>
      <c r="D133" s="76" t="s">
        <v>1494</v>
      </c>
      <c r="E133" s="76" t="s">
        <v>10</v>
      </c>
      <c r="F133" s="824">
        <v>2</v>
      </c>
      <c r="G133" s="275">
        <v>6190800</v>
      </c>
      <c r="H133" s="77">
        <f t="shared" si="5"/>
        <v>12381600</v>
      </c>
      <c r="I133" s="276"/>
      <c r="J133" s="277"/>
      <c r="K133" s="277"/>
      <c r="L133" s="277"/>
      <c r="M133" s="277"/>
      <c r="N133" s="277"/>
      <c r="O133" s="277"/>
      <c r="P133" s="277"/>
      <c r="Q133" s="277"/>
    </row>
    <row r="134" spans="1:17" s="134" customFormat="1" ht="18.75">
      <c r="A134" s="76" t="s">
        <v>1495</v>
      </c>
      <c r="B134" s="78" t="s">
        <v>1496</v>
      </c>
      <c r="C134" s="76"/>
      <c r="D134" s="76" t="s">
        <v>1121</v>
      </c>
      <c r="E134" s="76" t="s">
        <v>32</v>
      </c>
      <c r="F134" s="824">
        <v>4</v>
      </c>
      <c r="G134" s="275">
        <v>1883520</v>
      </c>
      <c r="H134" s="77">
        <f t="shared" si="5"/>
        <v>7534080</v>
      </c>
      <c r="I134" s="276"/>
      <c r="J134" s="277"/>
      <c r="K134" s="277"/>
      <c r="L134" s="277"/>
      <c r="M134" s="277"/>
      <c r="N134" s="277"/>
      <c r="O134" s="277"/>
      <c r="P134" s="277"/>
      <c r="Q134" s="277"/>
    </row>
    <row r="135" spans="1:17" s="134" customFormat="1" ht="18.75">
      <c r="A135" s="76" t="s">
        <v>1497</v>
      </c>
      <c r="B135" s="78" t="s">
        <v>1498</v>
      </c>
      <c r="C135" s="76"/>
      <c r="D135" s="76" t="s">
        <v>1121</v>
      </c>
      <c r="E135" s="76" t="s">
        <v>10</v>
      </c>
      <c r="F135" s="824">
        <v>1</v>
      </c>
      <c r="G135" s="275">
        <v>5119200</v>
      </c>
      <c r="H135" s="77">
        <f t="shared" si="5"/>
        <v>5119200</v>
      </c>
      <c r="I135" s="276"/>
      <c r="J135" s="277"/>
      <c r="K135" s="277"/>
      <c r="L135" s="277"/>
      <c r="M135" s="277"/>
      <c r="N135" s="277"/>
      <c r="O135" s="277"/>
      <c r="P135" s="277"/>
      <c r="Q135" s="277"/>
    </row>
    <row r="136" spans="1:17" s="134" customFormat="1" ht="18.75">
      <c r="A136" s="76" t="s">
        <v>1499</v>
      </c>
      <c r="B136" s="78" t="s">
        <v>1500</v>
      </c>
      <c r="C136" s="76"/>
      <c r="D136" s="76" t="s">
        <v>1121</v>
      </c>
      <c r="E136" s="76" t="s">
        <v>10</v>
      </c>
      <c r="F136" s="824">
        <v>16</v>
      </c>
      <c r="G136" s="275">
        <v>617760</v>
      </c>
      <c r="H136" s="77">
        <f t="shared" si="5"/>
        <v>9884160</v>
      </c>
      <c r="I136" s="276"/>
      <c r="J136" s="277"/>
      <c r="K136" s="277"/>
      <c r="L136" s="277"/>
      <c r="M136" s="277"/>
      <c r="N136" s="277"/>
      <c r="O136" s="277"/>
      <c r="P136" s="277"/>
      <c r="Q136" s="277"/>
    </row>
    <row r="137" spans="1:17" s="134" customFormat="1" ht="18.75">
      <c r="A137" s="76" t="s">
        <v>1501</v>
      </c>
      <c r="B137" s="78" t="s">
        <v>1502</v>
      </c>
      <c r="C137" s="76"/>
      <c r="D137" s="76" t="s">
        <v>1121</v>
      </c>
      <c r="E137" s="76" t="s">
        <v>10</v>
      </c>
      <c r="F137" s="824">
        <v>4</v>
      </c>
      <c r="G137" s="275">
        <v>196560</v>
      </c>
      <c r="H137" s="77">
        <f t="shared" si="5"/>
        <v>786240</v>
      </c>
      <c r="I137" s="276"/>
      <c r="J137" s="277"/>
      <c r="K137" s="277"/>
      <c r="L137" s="277"/>
      <c r="M137" s="277"/>
      <c r="N137" s="277"/>
      <c r="O137" s="277"/>
      <c r="P137" s="277"/>
      <c r="Q137" s="277"/>
    </row>
    <row r="138" spans="1:17" s="134" customFormat="1" ht="18.75">
      <c r="A138" s="76" t="s">
        <v>1503</v>
      </c>
      <c r="B138" s="78" t="s">
        <v>1504</v>
      </c>
      <c r="C138" s="76"/>
      <c r="D138" s="76" t="s">
        <v>1121</v>
      </c>
      <c r="E138" s="76" t="s">
        <v>10</v>
      </c>
      <c r="F138" s="824">
        <v>4</v>
      </c>
      <c r="G138" s="275">
        <v>606960</v>
      </c>
      <c r="H138" s="77">
        <f t="shared" ref="H138:H158" si="6">+G138*F138</f>
        <v>2427840</v>
      </c>
      <c r="I138" s="276"/>
      <c r="J138" s="277"/>
      <c r="K138" s="277"/>
      <c r="L138" s="277"/>
      <c r="M138" s="277"/>
      <c r="N138" s="277"/>
      <c r="O138" s="277"/>
      <c r="P138" s="277"/>
      <c r="Q138" s="277"/>
    </row>
    <row r="139" spans="1:17" s="134" customFormat="1" ht="18.75">
      <c r="A139" s="76" t="s">
        <v>1505</v>
      </c>
      <c r="B139" s="78" t="s">
        <v>1506</v>
      </c>
      <c r="C139" s="76"/>
      <c r="D139" s="76" t="s">
        <v>1121</v>
      </c>
      <c r="E139" s="76" t="s">
        <v>10</v>
      </c>
      <c r="F139" s="824">
        <v>1</v>
      </c>
      <c r="G139" s="275">
        <v>2720520</v>
      </c>
      <c r="H139" s="77">
        <f t="shared" si="6"/>
        <v>2720520</v>
      </c>
      <c r="I139" s="276"/>
      <c r="J139" s="277"/>
      <c r="K139" s="277"/>
      <c r="L139" s="277"/>
      <c r="M139" s="277"/>
      <c r="N139" s="277"/>
      <c r="O139" s="277"/>
      <c r="P139" s="277"/>
      <c r="Q139" s="277"/>
    </row>
    <row r="140" spans="1:17" s="134" customFormat="1" ht="18.75">
      <c r="A140" s="76" t="s">
        <v>1507</v>
      </c>
      <c r="B140" s="78" t="s">
        <v>1508</v>
      </c>
      <c r="C140" s="76"/>
      <c r="D140" s="76" t="s">
        <v>1121</v>
      </c>
      <c r="E140" s="76" t="s">
        <v>10</v>
      </c>
      <c r="F140" s="824">
        <v>1</v>
      </c>
      <c r="G140" s="275">
        <v>3966840</v>
      </c>
      <c r="H140" s="77">
        <f t="shared" si="6"/>
        <v>3966840</v>
      </c>
      <c r="I140" s="276"/>
      <c r="J140" s="277"/>
      <c r="K140" s="277"/>
      <c r="L140" s="277"/>
      <c r="M140" s="277"/>
      <c r="N140" s="277"/>
      <c r="O140" s="277"/>
      <c r="P140" s="277"/>
      <c r="Q140" s="277"/>
    </row>
    <row r="141" spans="1:17" s="134" customFormat="1" ht="18.75">
      <c r="A141" s="76" t="s">
        <v>1509</v>
      </c>
      <c r="B141" s="78" t="s">
        <v>1510</v>
      </c>
      <c r="C141" s="76"/>
      <c r="D141" s="76" t="s">
        <v>1121</v>
      </c>
      <c r="E141" s="76" t="s">
        <v>10</v>
      </c>
      <c r="F141" s="824">
        <v>1</v>
      </c>
      <c r="G141" s="275">
        <v>4551120</v>
      </c>
      <c r="H141" s="77">
        <f t="shared" si="6"/>
        <v>4551120</v>
      </c>
      <c r="I141" s="276"/>
      <c r="J141" s="277"/>
      <c r="K141" s="277"/>
      <c r="L141" s="277"/>
      <c r="M141" s="277"/>
      <c r="N141" s="277"/>
      <c r="O141" s="277"/>
      <c r="P141" s="277"/>
      <c r="Q141" s="277"/>
    </row>
    <row r="142" spans="1:17" s="134" customFormat="1" ht="18.75">
      <c r="A142" s="76" t="s">
        <v>1511</v>
      </c>
      <c r="B142" s="78" t="s">
        <v>1512</v>
      </c>
      <c r="C142" s="76"/>
      <c r="D142" s="76" t="s">
        <v>1121</v>
      </c>
      <c r="E142" s="76" t="s">
        <v>10</v>
      </c>
      <c r="F142" s="824">
        <v>1</v>
      </c>
      <c r="G142" s="275">
        <v>509760</v>
      </c>
      <c r="H142" s="77">
        <f t="shared" si="6"/>
        <v>509760</v>
      </c>
      <c r="I142" s="276"/>
      <c r="J142" s="277"/>
      <c r="K142" s="277"/>
      <c r="L142" s="277"/>
      <c r="M142" s="277"/>
      <c r="N142" s="277"/>
      <c r="O142" s="277"/>
      <c r="P142" s="277"/>
      <c r="Q142" s="277"/>
    </row>
    <row r="143" spans="1:17" s="134" customFormat="1" ht="18.75">
      <c r="A143" s="76" t="s">
        <v>1513</v>
      </c>
      <c r="B143" s="78" t="s">
        <v>1514</v>
      </c>
      <c r="C143" s="78"/>
      <c r="D143" s="76" t="s">
        <v>1121</v>
      </c>
      <c r="E143" s="76" t="s">
        <v>10</v>
      </c>
      <c r="F143" s="824">
        <v>1</v>
      </c>
      <c r="G143" s="275">
        <v>5082480</v>
      </c>
      <c r="H143" s="77">
        <f t="shared" si="6"/>
        <v>5082480</v>
      </c>
      <c r="I143" s="276"/>
      <c r="J143" s="277"/>
      <c r="K143" s="277"/>
      <c r="L143" s="277"/>
      <c r="M143" s="277"/>
      <c r="N143" s="277"/>
      <c r="O143" s="277"/>
      <c r="P143" s="277"/>
      <c r="Q143" s="277"/>
    </row>
    <row r="144" spans="1:17" s="134" customFormat="1" ht="18.75">
      <c r="A144" s="76" t="s">
        <v>1515</v>
      </c>
      <c r="B144" s="78" t="s">
        <v>1516</v>
      </c>
      <c r="C144" s="78"/>
      <c r="D144" s="76" t="s">
        <v>1121</v>
      </c>
      <c r="E144" s="76" t="s">
        <v>10</v>
      </c>
      <c r="F144" s="824">
        <v>1</v>
      </c>
      <c r="G144" s="275">
        <v>12575520</v>
      </c>
      <c r="H144" s="77">
        <f t="shared" si="6"/>
        <v>12575520</v>
      </c>
      <c r="I144" s="276"/>
      <c r="J144" s="277"/>
      <c r="K144" s="277"/>
      <c r="L144" s="277"/>
      <c r="M144" s="277"/>
      <c r="N144" s="277"/>
      <c r="O144" s="277"/>
      <c r="P144" s="277"/>
      <c r="Q144" s="277"/>
    </row>
    <row r="145" spans="1:17" s="134" customFormat="1" ht="18.75">
      <c r="A145" s="76" t="s">
        <v>1517</v>
      </c>
      <c r="B145" s="78" t="s">
        <v>1518</v>
      </c>
      <c r="C145" s="78"/>
      <c r="D145" s="76" t="s">
        <v>1121</v>
      </c>
      <c r="E145" s="76" t="s">
        <v>10</v>
      </c>
      <c r="F145" s="824">
        <v>2</v>
      </c>
      <c r="G145" s="275">
        <v>193320</v>
      </c>
      <c r="H145" s="77">
        <f t="shared" si="6"/>
        <v>386640</v>
      </c>
      <c r="I145" s="276"/>
      <c r="J145" s="277"/>
      <c r="K145" s="277"/>
      <c r="L145" s="277"/>
      <c r="M145" s="277"/>
      <c r="N145" s="277"/>
      <c r="O145" s="277"/>
      <c r="P145" s="277"/>
      <c r="Q145" s="277"/>
    </row>
    <row r="146" spans="1:17" s="134" customFormat="1" ht="18.75">
      <c r="A146" s="76" t="s">
        <v>1519</v>
      </c>
      <c r="B146" s="78" t="s">
        <v>1520</v>
      </c>
      <c r="C146" s="78"/>
      <c r="D146" s="76" t="s">
        <v>1121</v>
      </c>
      <c r="E146" s="76" t="s">
        <v>10</v>
      </c>
      <c r="F146" s="824">
        <v>3</v>
      </c>
      <c r="G146" s="275">
        <v>281880</v>
      </c>
      <c r="H146" s="77">
        <f t="shared" si="6"/>
        <v>845640</v>
      </c>
      <c r="I146" s="276"/>
      <c r="J146" s="277"/>
      <c r="K146" s="277"/>
      <c r="L146" s="277"/>
      <c r="M146" s="277"/>
      <c r="N146" s="277"/>
      <c r="O146" s="277"/>
      <c r="P146" s="277"/>
      <c r="Q146" s="277"/>
    </row>
    <row r="147" spans="1:17" s="134" customFormat="1" ht="18.75">
      <c r="A147" s="76" t="s">
        <v>1521</v>
      </c>
      <c r="B147" s="78" t="s">
        <v>1522</v>
      </c>
      <c r="C147" s="78"/>
      <c r="D147" s="76" t="s">
        <v>1121</v>
      </c>
      <c r="E147" s="76" t="s">
        <v>10</v>
      </c>
      <c r="F147" s="824">
        <v>1</v>
      </c>
      <c r="G147" s="275">
        <v>403920</v>
      </c>
      <c r="H147" s="77">
        <f t="shared" si="6"/>
        <v>403920</v>
      </c>
      <c r="I147" s="276"/>
      <c r="J147" s="277"/>
      <c r="K147" s="277"/>
      <c r="L147" s="277"/>
      <c r="M147" s="277"/>
      <c r="N147" s="277"/>
      <c r="O147" s="277"/>
      <c r="P147" s="277"/>
      <c r="Q147" s="277"/>
    </row>
    <row r="148" spans="1:17" s="134" customFormat="1" ht="18.75">
      <c r="A148" s="76" t="s">
        <v>1523</v>
      </c>
      <c r="B148" s="78" t="s">
        <v>1524</v>
      </c>
      <c r="C148" s="78"/>
      <c r="D148" s="76" t="s">
        <v>1121</v>
      </c>
      <c r="E148" s="76" t="s">
        <v>10</v>
      </c>
      <c r="F148" s="824">
        <v>4</v>
      </c>
      <c r="G148" s="275">
        <v>920160</v>
      </c>
      <c r="H148" s="77">
        <f t="shared" si="6"/>
        <v>3680640</v>
      </c>
      <c r="I148" s="276"/>
      <c r="J148" s="277"/>
      <c r="K148" s="277"/>
      <c r="L148" s="277"/>
      <c r="M148" s="277"/>
      <c r="N148" s="277"/>
      <c r="O148" s="277"/>
      <c r="P148" s="277"/>
      <c r="Q148" s="277"/>
    </row>
    <row r="149" spans="1:17" s="134" customFormat="1" ht="18.75">
      <c r="A149" s="76" t="s">
        <v>1525</v>
      </c>
      <c r="B149" s="78" t="s">
        <v>1526</v>
      </c>
      <c r="C149" s="76"/>
      <c r="D149" s="76" t="s">
        <v>1121</v>
      </c>
      <c r="E149" s="76" t="s">
        <v>10</v>
      </c>
      <c r="F149" s="824">
        <v>1</v>
      </c>
      <c r="G149" s="275">
        <v>893160</v>
      </c>
      <c r="H149" s="77">
        <f t="shared" si="6"/>
        <v>893160</v>
      </c>
      <c r="I149" s="276"/>
      <c r="J149" s="277"/>
      <c r="K149" s="277"/>
      <c r="L149" s="277"/>
      <c r="M149" s="277"/>
      <c r="N149" s="277"/>
      <c r="O149" s="277"/>
      <c r="P149" s="277"/>
      <c r="Q149" s="277"/>
    </row>
    <row r="150" spans="1:17" s="134" customFormat="1" ht="18.75">
      <c r="A150" s="76" t="s">
        <v>1527</v>
      </c>
      <c r="B150" s="78" t="s">
        <v>1528</v>
      </c>
      <c r="C150" s="76"/>
      <c r="D150" s="76" t="s">
        <v>1121</v>
      </c>
      <c r="E150" s="76" t="s">
        <v>10</v>
      </c>
      <c r="F150" s="824">
        <v>1</v>
      </c>
      <c r="G150" s="275">
        <v>1936440</v>
      </c>
      <c r="H150" s="77">
        <f t="shared" si="6"/>
        <v>1936440</v>
      </c>
      <c r="I150" s="276"/>
      <c r="J150" s="277"/>
      <c r="K150" s="277"/>
      <c r="L150" s="277"/>
      <c r="M150" s="277"/>
      <c r="N150" s="277"/>
      <c r="O150" s="277"/>
      <c r="P150" s="277"/>
      <c r="Q150" s="277"/>
    </row>
    <row r="151" spans="1:17" s="134" customFormat="1" ht="18.75">
      <c r="A151" s="76" t="s">
        <v>1529</v>
      </c>
      <c r="B151" s="78" t="s">
        <v>1530</v>
      </c>
      <c r="C151" s="76"/>
      <c r="D151" s="76" t="s">
        <v>1121</v>
      </c>
      <c r="E151" s="76" t="s">
        <v>10</v>
      </c>
      <c r="F151" s="824">
        <v>1</v>
      </c>
      <c r="G151" s="275">
        <v>699840</v>
      </c>
      <c r="H151" s="77">
        <f t="shared" si="6"/>
        <v>699840</v>
      </c>
      <c r="I151" s="276"/>
      <c r="J151" s="277"/>
      <c r="K151" s="277"/>
      <c r="L151" s="277"/>
      <c r="M151" s="277"/>
      <c r="N151" s="277"/>
      <c r="O151" s="277"/>
      <c r="P151" s="277"/>
      <c r="Q151" s="277"/>
    </row>
    <row r="152" spans="1:17" s="134" customFormat="1" ht="18.75">
      <c r="A152" s="76" t="s">
        <v>1531</v>
      </c>
      <c r="B152" s="78" t="s">
        <v>1532</v>
      </c>
      <c r="C152" s="76"/>
      <c r="D152" s="76" t="s">
        <v>1121</v>
      </c>
      <c r="E152" s="76" t="s">
        <v>10</v>
      </c>
      <c r="F152" s="824">
        <v>1</v>
      </c>
      <c r="G152" s="275">
        <v>263520</v>
      </c>
      <c r="H152" s="77">
        <f t="shared" si="6"/>
        <v>263520</v>
      </c>
      <c r="I152" s="276"/>
      <c r="J152" s="277"/>
      <c r="K152" s="277"/>
      <c r="L152" s="277"/>
      <c r="M152" s="277"/>
      <c r="N152" s="277"/>
      <c r="O152" s="277"/>
      <c r="P152" s="277"/>
      <c r="Q152" s="277"/>
    </row>
    <row r="153" spans="1:17" s="134" customFormat="1" ht="18.75">
      <c r="A153" s="76" t="s">
        <v>1533</v>
      </c>
      <c r="B153" s="8" t="s">
        <v>1534</v>
      </c>
      <c r="C153" s="76"/>
      <c r="D153" s="76" t="s">
        <v>1121</v>
      </c>
      <c r="E153" s="76" t="s">
        <v>10</v>
      </c>
      <c r="F153" s="824">
        <v>2</v>
      </c>
      <c r="G153" s="275">
        <v>164160</v>
      </c>
      <c r="H153" s="77">
        <f t="shared" si="6"/>
        <v>328320</v>
      </c>
      <c r="I153" s="276"/>
      <c r="J153" s="277"/>
      <c r="K153" s="277"/>
      <c r="L153" s="277"/>
      <c r="M153" s="277"/>
      <c r="N153" s="277"/>
      <c r="O153" s="277"/>
      <c r="P153" s="277"/>
      <c r="Q153" s="277"/>
    </row>
    <row r="154" spans="1:17" s="134" customFormat="1" ht="18.75">
      <c r="A154" s="76" t="s">
        <v>1535</v>
      </c>
      <c r="B154" s="8" t="s">
        <v>1536</v>
      </c>
      <c r="C154" s="76"/>
      <c r="D154" s="76" t="s">
        <v>1121</v>
      </c>
      <c r="E154" s="76" t="s">
        <v>10</v>
      </c>
      <c r="F154" s="824">
        <v>1</v>
      </c>
      <c r="G154" s="275">
        <v>707400</v>
      </c>
      <c r="H154" s="77">
        <f t="shared" si="6"/>
        <v>707400</v>
      </c>
      <c r="I154" s="276"/>
      <c r="J154" s="277">
        <f>+G154*0.8</f>
        <v>565920</v>
      </c>
      <c r="K154" s="277"/>
      <c r="L154" s="277"/>
      <c r="M154" s="277"/>
      <c r="N154" s="277"/>
      <c r="O154" s="277"/>
      <c r="P154" s="277"/>
      <c r="Q154" s="277"/>
    </row>
    <row r="155" spans="1:17" s="134" customFormat="1" ht="18.75">
      <c r="A155" s="76" t="s">
        <v>1537</v>
      </c>
      <c r="B155" s="8" t="s">
        <v>1534</v>
      </c>
      <c r="C155" s="76"/>
      <c r="D155" s="76" t="s">
        <v>1121</v>
      </c>
      <c r="E155" s="76" t="s">
        <v>10</v>
      </c>
      <c r="F155" s="824">
        <v>1</v>
      </c>
      <c r="G155" s="275">
        <v>420120</v>
      </c>
      <c r="H155" s="77">
        <f t="shared" si="6"/>
        <v>420120</v>
      </c>
      <c r="I155" s="276"/>
      <c r="J155" s="277"/>
      <c r="K155" s="277"/>
      <c r="L155" s="277"/>
      <c r="M155" s="277"/>
      <c r="N155" s="277"/>
      <c r="O155" s="277"/>
      <c r="P155" s="277"/>
      <c r="Q155" s="277"/>
    </row>
    <row r="156" spans="1:17" s="134" customFormat="1" ht="18.75">
      <c r="A156" s="76" t="s">
        <v>1538</v>
      </c>
      <c r="B156" s="78" t="s">
        <v>1539</v>
      </c>
      <c r="C156" s="76"/>
      <c r="D156" s="76" t="s">
        <v>1121</v>
      </c>
      <c r="E156" s="76" t="s">
        <v>10</v>
      </c>
      <c r="F156" s="824">
        <v>1</v>
      </c>
      <c r="G156" s="275">
        <v>955800</v>
      </c>
      <c r="H156" s="77">
        <f t="shared" si="6"/>
        <v>955800</v>
      </c>
      <c r="I156" s="276"/>
      <c r="J156" s="277"/>
      <c r="K156" s="277"/>
      <c r="L156" s="277"/>
      <c r="M156" s="277"/>
      <c r="N156" s="277"/>
      <c r="O156" s="277"/>
      <c r="P156" s="277"/>
      <c r="Q156" s="277"/>
    </row>
    <row r="157" spans="1:17" s="134" customFormat="1" ht="18.75">
      <c r="A157" s="76" t="s">
        <v>1540</v>
      </c>
      <c r="B157" s="78" t="s">
        <v>1541</v>
      </c>
      <c r="C157" s="76"/>
      <c r="D157" s="76" t="s">
        <v>1121</v>
      </c>
      <c r="E157" s="76" t="s">
        <v>10</v>
      </c>
      <c r="F157" s="824">
        <v>1</v>
      </c>
      <c r="G157" s="275">
        <v>556200</v>
      </c>
      <c r="H157" s="77">
        <f t="shared" si="6"/>
        <v>556200</v>
      </c>
      <c r="I157" s="276"/>
      <c r="J157" s="277"/>
      <c r="K157" s="277"/>
      <c r="L157" s="277"/>
      <c r="M157" s="277"/>
      <c r="N157" s="277"/>
      <c r="O157" s="277"/>
      <c r="P157" s="277"/>
      <c r="Q157" s="277"/>
    </row>
    <row r="158" spans="1:17" s="134" customFormat="1" ht="18.75">
      <c r="A158" s="76" t="s">
        <v>1542</v>
      </c>
      <c r="B158" s="78" t="s">
        <v>1543</v>
      </c>
      <c r="C158" s="76"/>
      <c r="D158" s="76" t="s">
        <v>1121</v>
      </c>
      <c r="E158" s="76" t="s">
        <v>10</v>
      </c>
      <c r="F158" s="824">
        <v>1</v>
      </c>
      <c r="G158" s="275">
        <v>467640</v>
      </c>
      <c r="H158" s="77">
        <f t="shared" si="6"/>
        <v>467640</v>
      </c>
      <c r="I158" s="276"/>
      <c r="J158" s="277"/>
      <c r="K158" s="277"/>
      <c r="L158" s="277"/>
      <c r="M158" s="277"/>
      <c r="N158" s="277"/>
      <c r="O158" s="277"/>
      <c r="P158" s="277"/>
      <c r="Q158" s="277"/>
    </row>
    <row r="159" spans="1:17" s="113" customFormat="1" ht="18.75">
      <c r="A159" s="4" t="s">
        <v>139</v>
      </c>
      <c r="B159" s="13" t="s">
        <v>1279</v>
      </c>
      <c r="C159" s="125"/>
      <c r="D159" s="226"/>
      <c r="E159" s="226"/>
      <c r="F159" s="814"/>
      <c r="G159" s="213"/>
      <c r="H159" s="6"/>
      <c r="I159" s="206"/>
      <c r="J159" s="148"/>
      <c r="K159" s="148"/>
      <c r="L159" s="148"/>
      <c r="M159" s="148"/>
      <c r="N159" s="148"/>
      <c r="O159" s="148"/>
      <c r="P159" s="148"/>
      <c r="Q159" s="148"/>
    </row>
    <row r="160" spans="1:17" s="127" customFormat="1" ht="31.5">
      <c r="A160" s="92" t="s">
        <v>349</v>
      </c>
      <c r="B160" s="214" t="s">
        <v>1544</v>
      </c>
      <c r="C160" s="123"/>
      <c r="D160" s="208"/>
      <c r="E160" s="208"/>
      <c r="F160" s="823"/>
      <c r="G160" s="209"/>
      <c r="H160" s="93"/>
      <c r="I160" s="278"/>
      <c r="J160" s="228"/>
      <c r="K160" s="228"/>
      <c r="L160" s="228"/>
      <c r="M160" s="228"/>
      <c r="N160" s="228"/>
      <c r="O160" s="228"/>
      <c r="P160" s="228"/>
      <c r="Q160" s="228"/>
    </row>
    <row r="161" spans="1:17" s="113" customFormat="1" ht="31.5">
      <c r="A161" s="7" t="s">
        <v>1545</v>
      </c>
      <c r="B161" s="65" t="s">
        <v>1546</v>
      </c>
      <c r="C161" s="125"/>
      <c r="D161" s="212"/>
      <c r="E161" s="212" t="s">
        <v>32</v>
      </c>
      <c r="F161" s="824">
        <v>2</v>
      </c>
      <c r="G161" s="213">
        <v>1950000</v>
      </c>
      <c r="H161" s="9">
        <f t="shared" ref="H161:H175" si="7">+G161*F161</f>
        <v>3900000</v>
      </c>
      <c r="I161" s="206"/>
      <c r="J161" s="148"/>
      <c r="K161" s="148"/>
      <c r="L161" s="148"/>
      <c r="M161" s="148"/>
      <c r="N161" s="148"/>
      <c r="O161" s="148"/>
      <c r="P161" s="148"/>
      <c r="Q161" s="148"/>
    </row>
    <row r="162" spans="1:17" s="113" customFormat="1" ht="18.75">
      <c r="A162" s="7" t="s">
        <v>1547</v>
      </c>
      <c r="B162" s="65" t="s">
        <v>1548</v>
      </c>
      <c r="C162" s="125"/>
      <c r="D162" s="212"/>
      <c r="E162" s="212" t="s">
        <v>10</v>
      </c>
      <c r="F162" s="824">
        <v>2</v>
      </c>
      <c r="G162" s="213">
        <v>195000</v>
      </c>
      <c r="H162" s="9">
        <f t="shared" si="7"/>
        <v>390000</v>
      </c>
      <c r="I162" s="206"/>
      <c r="J162" s="148"/>
      <c r="K162" s="148"/>
      <c r="L162" s="148"/>
      <c r="M162" s="148"/>
      <c r="N162" s="148"/>
      <c r="O162" s="148"/>
      <c r="P162" s="148"/>
      <c r="Q162" s="148"/>
    </row>
    <row r="163" spans="1:17" s="113" customFormat="1" ht="18.75">
      <c r="A163" s="7" t="s">
        <v>1549</v>
      </c>
      <c r="B163" s="65" t="s">
        <v>1550</v>
      </c>
      <c r="C163" s="125"/>
      <c r="D163" s="212"/>
      <c r="E163" s="212" t="s">
        <v>10</v>
      </c>
      <c r="F163" s="824">
        <v>16</v>
      </c>
      <c r="G163" s="213">
        <v>16500</v>
      </c>
      <c r="H163" s="9">
        <f t="shared" si="7"/>
        <v>264000</v>
      </c>
      <c r="I163" s="206"/>
      <c r="J163" s="148"/>
      <c r="K163" s="148"/>
      <c r="L163" s="148"/>
      <c r="M163" s="148"/>
      <c r="N163" s="148"/>
      <c r="O163" s="148"/>
      <c r="P163" s="148"/>
      <c r="Q163" s="148"/>
    </row>
    <row r="164" spans="1:17" s="124" customFormat="1" ht="31.5">
      <c r="A164" s="92" t="s">
        <v>349</v>
      </c>
      <c r="B164" s="214" t="s">
        <v>1551</v>
      </c>
      <c r="C164" s="123"/>
      <c r="D164" s="208"/>
      <c r="E164" s="208"/>
      <c r="F164" s="823"/>
      <c r="G164" s="209"/>
      <c r="H164" s="93">
        <f t="shared" si="7"/>
        <v>0</v>
      </c>
      <c r="I164" s="210"/>
      <c r="J164" s="211"/>
      <c r="K164" s="211"/>
      <c r="L164" s="211"/>
      <c r="M164" s="211"/>
      <c r="N164" s="211"/>
      <c r="O164" s="211"/>
      <c r="P164" s="211"/>
      <c r="Q164" s="211"/>
    </row>
    <row r="165" spans="1:17" s="115" customFormat="1" ht="18.75">
      <c r="A165" s="7" t="s">
        <v>1552</v>
      </c>
      <c r="B165" s="67" t="s">
        <v>1553</v>
      </c>
      <c r="C165" s="125"/>
      <c r="D165" s="212"/>
      <c r="E165" s="212" t="s">
        <v>32</v>
      </c>
      <c r="F165" s="813">
        <v>2</v>
      </c>
      <c r="G165" s="213">
        <v>1950000</v>
      </c>
      <c r="H165" s="9">
        <f t="shared" si="7"/>
        <v>3900000</v>
      </c>
      <c r="I165" s="184"/>
      <c r="J165" s="155"/>
      <c r="K165" s="155"/>
      <c r="L165" s="155"/>
      <c r="M165" s="155"/>
      <c r="N165" s="155"/>
      <c r="O165" s="155"/>
      <c r="P165" s="155"/>
      <c r="Q165" s="155"/>
    </row>
    <row r="166" spans="1:17" s="115" customFormat="1" ht="18.75">
      <c r="A166" s="7" t="s">
        <v>1554</v>
      </c>
      <c r="B166" s="67" t="s">
        <v>1352</v>
      </c>
      <c r="C166" s="125"/>
      <c r="D166" s="212"/>
      <c r="E166" s="212" t="s">
        <v>10</v>
      </c>
      <c r="F166" s="813">
        <v>4</v>
      </c>
      <c r="G166" s="213">
        <v>150000</v>
      </c>
      <c r="H166" s="9">
        <f t="shared" si="7"/>
        <v>600000</v>
      </c>
      <c r="I166" s="184"/>
      <c r="J166" s="155"/>
      <c r="K166" s="155"/>
      <c r="L166" s="155"/>
      <c r="M166" s="155"/>
      <c r="N166" s="155"/>
      <c r="O166" s="155"/>
      <c r="P166" s="155"/>
      <c r="Q166" s="155"/>
    </row>
    <row r="167" spans="1:17" s="115" customFormat="1" ht="18.75">
      <c r="A167" s="7" t="s">
        <v>1555</v>
      </c>
      <c r="B167" s="65" t="s">
        <v>1353</v>
      </c>
      <c r="C167" s="7" t="s">
        <v>1354</v>
      </c>
      <c r="D167" s="7" t="s">
        <v>39</v>
      </c>
      <c r="E167" s="7" t="s">
        <v>32</v>
      </c>
      <c r="F167" s="824">
        <v>12</v>
      </c>
      <c r="G167" s="213">
        <v>14500</v>
      </c>
      <c r="H167" s="9">
        <f t="shared" si="7"/>
        <v>174000</v>
      </c>
      <c r="I167" s="184"/>
      <c r="J167" s="155"/>
      <c r="K167" s="155"/>
      <c r="L167" s="155"/>
      <c r="M167" s="155"/>
      <c r="N167" s="155"/>
      <c r="O167" s="155"/>
      <c r="P167" s="155"/>
      <c r="Q167" s="155"/>
    </row>
    <row r="168" spans="1:17" s="124" customFormat="1" ht="31.5">
      <c r="A168" s="92" t="s">
        <v>349</v>
      </c>
      <c r="B168" s="214" t="s">
        <v>1556</v>
      </c>
      <c r="C168" s="135"/>
      <c r="D168" s="279"/>
      <c r="E168" s="279"/>
      <c r="F168" s="837"/>
      <c r="G168" s="209"/>
      <c r="H168" s="93">
        <f t="shared" si="7"/>
        <v>0</v>
      </c>
      <c r="I168" s="210"/>
      <c r="J168" s="211"/>
      <c r="K168" s="211"/>
      <c r="L168" s="211"/>
      <c r="M168" s="211"/>
      <c r="N168" s="211"/>
      <c r="O168" s="211"/>
      <c r="P168" s="211"/>
      <c r="Q168" s="211"/>
    </row>
    <row r="169" spans="1:17" s="115" customFormat="1" ht="18.75">
      <c r="A169" s="7" t="s">
        <v>1557</v>
      </c>
      <c r="B169" s="65" t="s">
        <v>1558</v>
      </c>
      <c r="C169" s="136" t="s">
        <v>1559</v>
      </c>
      <c r="D169" s="280"/>
      <c r="E169" s="280" t="s">
        <v>32</v>
      </c>
      <c r="F169" s="824">
        <v>2</v>
      </c>
      <c r="G169" s="213">
        <v>2050000</v>
      </c>
      <c r="H169" s="9">
        <f t="shared" si="7"/>
        <v>4100000</v>
      </c>
      <c r="I169" s="184"/>
      <c r="J169" s="155"/>
      <c r="K169" s="155"/>
      <c r="L169" s="155"/>
      <c r="M169" s="155"/>
      <c r="N169" s="155"/>
      <c r="O169" s="155"/>
      <c r="P169" s="155"/>
      <c r="Q169" s="155"/>
    </row>
    <row r="170" spans="1:17" s="115" customFormat="1" ht="18.75">
      <c r="A170" s="7" t="s">
        <v>1560</v>
      </c>
      <c r="B170" s="65" t="s">
        <v>1561</v>
      </c>
      <c r="C170" s="136"/>
      <c r="D170" s="280"/>
      <c r="E170" s="280" t="s">
        <v>10</v>
      </c>
      <c r="F170" s="824">
        <v>4</v>
      </c>
      <c r="G170" s="213">
        <v>90000</v>
      </c>
      <c r="H170" s="9">
        <f t="shared" si="7"/>
        <v>360000</v>
      </c>
      <c r="I170" s="184"/>
      <c r="J170" s="155"/>
      <c r="K170" s="155"/>
      <c r="L170" s="155"/>
      <c r="M170" s="155"/>
      <c r="N170" s="155"/>
      <c r="O170" s="155"/>
      <c r="P170" s="155"/>
      <c r="Q170" s="155"/>
    </row>
    <row r="171" spans="1:17" s="115" customFormat="1" ht="18.75">
      <c r="A171" s="7" t="s">
        <v>1562</v>
      </c>
      <c r="B171" s="65" t="s">
        <v>1550</v>
      </c>
      <c r="C171" s="136"/>
      <c r="D171" s="280"/>
      <c r="E171" s="280" t="s">
        <v>32</v>
      </c>
      <c r="F171" s="824">
        <v>10</v>
      </c>
      <c r="G171" s="213">
        <v>16500</v>
      </c>
      <c r="H171" s="9">
        <f t="shared" si="7"/>
        <v>165000</v>
      </c>
      <c r="I171" s="184"/>
      <c r="J171" s="155"/>
      <c r="K171" s="155"/>
      <c r="L171" s="155"/>
      <c r="M171" s="155"/>
      <c r="N171" s="155"/>
      <c r="O171" s="155"/>
      <c r="P171" s="155"/>
      <c r="Q171" s="155"/>
    </row>
    <row r="172" spans="1:17" s="124" customFormat="1" ht="31.5">
      <c r="A172" s="92" t="s">
        <v>349</v>
      </c>
      <c r="B172" s="214" t="s">
        <v>1563</v>
      </c>
      <c r="C172" s="137"/>
      <c r="D172" s="92"/>
      <c r="E172" s="92"/>
      <c r="F172" s="838"/>
      <c r="G172" s="209"/>
      <c r="H172" s="93">
        <f t="shared" si="7"/>
        <v>0</v>
      </c>
      <c r="I172" s="210"/>
      <c r="J172" s="211"/>
      <c r="K172" s="211"/>
      <c r="L172" s="211"/>
      <c r="M172" s="211"/>
      <c r="N172" s="211"/>
      <c r="O172" s="211"/>
      <c r="P172" s="211"/>
      <c r="Q172" s="211"/>
    </row>
    <row r="173" spans="1:17" s="115" customFormat="1" ht="18.75">
      <c r="A173" s="7" t="s">
        <v>1564</v>
      </c>
      <c r="B173" s="65" t="s">
        <v>1565</v>
      </c>
      <c r="C173" s="138" t="s">
        <v>1566</v>
      </c>
      <c r="D173" s="7" t="s">
        <v>1030</v>
      </c>
      <c r="E173" s="7" t="s">
        <v>63</v>
      </c>
      <c r="F173" s="826">
        <v>5</v>
      </c>
      <c r="G173" s="213">
        <v>270000</v>
      </c>
      <c r="H173" s="9">
        <f t="shared" si="7"/>
        <v>1350000</v>
      </c>
      <c r="I173" s="184"/>
      <c r="J173" s="155"/>
      <c r="K173" s="155"/>
      <c r="L173" s="155"/>
      <c r="M173" s="155"/>
      <c r="N173" s="155"/>
      <c r="O173" s="155"/>
      <c r="P173" s="155"/>
      <c r="Q173" s="155"/>
    </row>
    <row r="174" spans="1:17" s="115" customFormat="1" ht="18.75">
      <c r="A174" s="7" t="s">
        <v>1567</v>
      </c>
      <c r="B174" s="65" t="s">
        <v>1568</v>
      </c>
      <c r="C174" s="138" t="s">
        <v>1566</v>
      </c>
      <c r="D174" s="7" t="s">
        <v>1030</v>
      </c>
      <c r="E174" s="7" t="s">
        <v>10</v>
      </c>
      <c r="F174" s="826">
        <v>4</v>
      </c>
      <c r="G174" s="213">
        <v>182000</v>
      </c>
      <c r="H174" s="9">
        <f t="shared" si="7"/>
        <v>728000</v>
      </c>
      <c r="I174" s="184"/>
      <c r="J174" s="155"/>
      <c r="K174" s="155"/>
      <c r="L174" s="155"/>
      <c r="M174" s="155"/>
      <c r="N174" s="155"/>
      <c r="O174" s="155"/>
      <c r="P174" s="155"/>
      <c r="Q174" s="155"/>
    </row>
    <row r="175" spans="1:17" s="115" customFormat="1" ht="18.75">
      <c r="A175" s="7" t="s">
        <v>1569</v>
      </c>
      <c r="B175" s="229" t="s">
        <v>1368</v>
      </c>
      <c r="C175" s="138"/>
      <c r="D175" s="226"/>
      <c r="E175" s="212" t="s">
        <v>44</v>
      </c>
      <c r="F175" s="813">
        <v>3</v>
      </c>
      <c r="G175" s="213">
        <v>250000</v>
      </c>
      <c r="H175" s="9">
        <f t="shared" si="7"/>
        <v>750000</v>
      </c>
      <c r="I175" s="184"/>
      <c r="J175" s="155"/>
      <c r="K175" s="155"/>
      <c r="L175" s="155"/>
      <c r="M175" s="155"/>
      <c r="N175" s="155"/>
      <c r="O175" s="155"/>
      <c r="P175" s="155"/>
      <c r="Q175" s="155"/>
    </row>
    <row r="176" spans="1:17" s="113" customFormat="1" ht="18.75">
      <c r="A176" s="149" t="s">
        <v>639</v>
      </c>
      <c r="B176" s="144" t="s">
        <v>1369</v>
      </c>
      <c r="C176" s="73"/>
      <c r="D176" s="73"/>
      <c r="E176" s="222"/>
      <c r="F176" s="808"/>
      <c r="G176" s="146"/>
      <c r="H176" s="146">
        <f>+SUM(H177:H208)</f>
        <v>52965135</v>
      </c>
      <c r="I176" s="147"/>
      <c r="J176" s="148"/>
      <c r="K176" s="148"/>
      <c r="L176" s="148"/>
      <c r="M176" s="148"/>
      <c r="N176" s="148"/>
      <c r="O176" s="148"/>
      <c r="P176" s="148"/>
      <c r="Q176" s="148"/>
    </row>
    <row r="177" spans="1:17" s="113" customFormat="1" ht="18.75">
      <c r="A177" s="162">
        <v>1</v>
      </c>
      <c r="B177" s="163" t="s">
        <v>1332</v>
      </c>
      <c r="C177" s="3"/>
      <c r="D177" s="3"/>
      <c r="E177" s="164"/>
      <c r="F177" s="809"/>
      <c r="G177" s="165"/>
      <c r="H177" s="165"/>
      <c r="I177" s="166"/>
      <c r="J177" s="148"/>
      <c r="K177" s="148"/>
      <c r="L177" s="148"/>
      <c r="M177" s="148"/>
      <c r="N177" s="148"/>
      <c r="O177" s="148"/>
      <c r="P177" s="148"/>
      <c r="Q177" s="148"/>
    </row>
    <row r="178" spans="1:17" s="113" customFormat="1" ht="47.25">
      <c r="A178" s="167" t="s">
        <v>8</v>
      </c>
      <c r="B178" s="281" t="s">
        <v>1570</v>
      </c>
      <c r="C178" s="63"/>
      <c r="D178" s="63"/>
      <c r="E178" s="116" t="s">
        <v>10</v>
      </c>
      <c r="F178" s="811">
        <v>2</v>
      </c>
      <c r="G178" s="169">
        <v>2500000</v>
      </c>
      <c r="H178" s="173">
        <f>+G178*F178</f>
        <v>5000000</v>
      </c>
      <c r="I178" s="170"/>
      <c r="J178" s="148"/>
      <c r="K178" s="148"/>
      <c r="L178" s="148"/>
      <c r="M178" s="148"/>
      <c r="N178" s="148"/>
      <c r="O178" s="148"/>
      <c r="P178" s="148"/>
      <c r="Q178" s="148"/>
    </row>
    <row r="179" spans="1:17" s="127" customFormat="1" ht="19.5">
      <c r="A179" s="175">
        <v>2</v>
      </c>
      <c r="B179" s="66" t="s">
        <v>984</v>
      </c>
      <c r="C179" s="66"/>
      <c r="D179" s="226"/>
      <c r="E179" s="226"/>
      <c r="F179" s="814"/>
      <c r="G179" s="213"/>
      <c r="H179" s="6"/>
      <c r="I179" s="227"/>
      <c r="J179" s="228"/>
      <c r="K179" s="228"/>
      <c r="L179" s="228"/>
      <c r="M179" s="228"/>
      <c r="N179" s="228"/>
      <c r="O179" s="228"/>
      <c r="P179" s="228"/>
      <c r="Q179" s="228"/>
    </row>
    <row r="180" spans="1:17" s="139" customFormat="1" ht="31.5">
      <c r="A180" s="116" t="s">
        <v>51</v>
      </c>
      <c r="B180" s="178" t="s">
        <v>1571</v>
      </c>
      <c r="C180" s="116" t="s">
        <v>1572</v>
      </c>
      <c r="D180" s="282"/>
      <c r="E180" s="282" t="s">
        <v>10</v>
      </c>
      <c r="F180" s="839">
        <v>2</v>
      </c>
      <c r="G180" s="283">
        <v>8500000</v>
      </c>
      <c r="H180" s="231">
        <f t="shared" ref="H180:H208" si="8">+G180*F180</f>
        <v>17000000</v>
      </c>
      <c r="I180" s="282"/>
      <c r="J180" s="284"/>
      <c r="K180" s="284"/>
      <c r="L180" s="284"/>
      <c r="M180" s="284"/>
      <c r="N180" s="284"/>
      <c r="O180" s="284"/>
      <c r="P180" s="284"/>
      <c r="Q180" s="284"/>
    </row>
    <row r="181" spans="1:17" s="139" customFormat="1" ht="18.75">
      <c r="A181" s="116" t="s">
        <v>1262</v>
      </c>
      <c r="B181" s="65" t="s">
        <v>1573</v>
      </c>
      <c r="C181" s="7" t="s">
        <v>1574</v>
      </c>
      <c r="D181" s="68"/>
      <c r="E181" s="68" t="s">
        <v>32</v>
      </c>
      <c r="F181" s="824">
        <v>64</v>
      </c>
      <c r="G181" s="285">
        <v>24500</v>
      </c>
      <c r="H181" s="231">
        <f t="shared" si="8"/>
        <v>1568000</v>
      </c>
      <c r="I181" s="68"/>
      <c r="J181" s="284"/>
      <c r="K181" s="284"/>
      <c r="L181" s="284"/>
      <c r="M181" s="284"/>
      <c r="N181" s="284"/>
      <c r="O181" s="284"/>
      <c r="P181" s="284"/>
      <c r="Q181" s="284"/>
    </row>
    <row r="182" spans="1:17" s="139" customFormat="1" ht="18.75">
      <c r="A182" s="116" t="s">
        <v>1265</v>
      </c>
      <c r="B182" s="65" t="s">
        <v>1575</v>
      </c>
      <c r="C182" s="7" t="s">
        <v>1576</v>
      </c>
      <c r="D182" s="68"/>
      <c r="E182" s="68" t="s">
        <v>32</v>
      </c>
      <c r="F182" s="824">
        <v>8</v>
      </c>
      <c r="G182" s="285">
        <v>26500</v>
      </c>
      <c r="H182" s="231">
        <f t="shared" si="8"/>
        <v>212000</v>
      </c>
      <c r="I182" s="68"/>
      <c r="J182" s="284"/>
      <c r="K182" s="284"/>
      <c r="L182" s="284"/>
      <c r="M182" s="284"/>
      <c r="N182" s="284"/>
      <c r="O182" s="284"/>
      <c r="P182" s="284"/>
      <c r="Q182" s="284"/>
    </row>
    <row r="183" spans="1:17" s="139" customFormat="1" ht="18.75">
      <c r="A183" s="116" t="s">
        <v>1343</v>
      </c>
      <c r="B183" s="65" t="s">
        <v>1577</v>
      </c>
      <c r="C183" s="7" t="s">
        <v>1578</v>
      </c>
      <c r="D183" s="68"/>
      <c r="E183" s="68" t="s">
        <v>32</v>
      </c>
      <c r="F183" s="824">
        <v>16</v>
      </c>
      <c r="G183" s="285">
        <v>18500</v>
      </c>
      <c r="H183" s="231">
        <f t="shared" si="8"/>
        <v>296000</v>
      </c>
      <c r="I183" s="68"/>
      <c r="J183" s="284"/>
      <c r="K183" s="284"/>
      <c r="L183" s="284"/>
      <c r="M183" s="284"/>
      <c r="N183" s="284"/>
      <c r="O183" s="284"/>
      <c r="P183" s="284"/>
      <c r="Q183" s="284"/>
    </row>
    <row r="184" spans="1:17" s="139" customFormat="1" ht="18.75">
      <c r="A184" s="116" t="s">
        <v>1345</v>
      </c>
      <c r="B184" s="65" t="s">
        <v>1579</v>
      </c>
      <c r="C184" s="7" t="s">
        <v>1580</v>
      </c>
      <c r="D184" s="68"/>
      <c r="E184" s="68" t="s">
        <v>32</v>
      </c>
      <c r="F184" s="824">
        <v>30</v>
      </c>
      <c r="G184" s="285">
        <v>15500</v>
      </c>
      <c r="H184" s="231">
        <f t="shared" si="8"/>
        <v>465000</v>
      </c>
      <c r="I184" s="68"/>
      <c r="J184" s="284"/>
      <c r="K184" s="284"/>
      <c r="L184" s="284"/>
      <c r="M184" s="284"/>
      <c r="N184" s="284"/>
      <c r="O184" s="284"/>
      <c r="P184" s="284"/>
      <c r="Q184" s="284"/>
    </row>
    <row r="185" spans="1:17" s="139" customFormat="1" ht="18.75">
      <c r="A185" s="116" t="s">
        <v>1347</v>
      </c>
      <c r="B185" s="65" t="s">
        <v>1581</v>
      </c>
      <c r="C185" s="7" t="s">
        <v>1487</v>
      </c>
      <c r="D185" s="68"/>
      <c r="E185" s="68" t="s">
        <v>32</v>
      </c>
      <c r="F185" s="824">
        <v>30</v>
      </c>
      <c r="G185" s="285">
        <v>14500</v>
      </c>
      <c r="H185" s="231">
        <f t="shared" si="8"/>
        <v>435000</v>
      </c>
      <c r="I185" s="68"/>
      <c r="J185" s="284"/>
      <c r="K185" s="284"/>
      <c r="L185" s="284"/>
      <c r="M185" s="284"/>
      <c r="N185" s="284"/>
      <c r="O185" s="284"/>
      <c r="P185" s="284"/>
      <c r="Q185" s="284"/>
    </row>
    <row r="186" spans="1:17" s="115" customFormat="1" ht="18.75">
      <c r="A186" s="116" t="s">
        <v>1361</v>
      </c>
      <c r="B186" s="8" t="s">
        <v>1582</v>
      </c>
      <c r="C186" s="128" t="s">
        <v>1583</v>
      </c>
      <c r="D186" s="212"/>
      <c r="E186" s="212" t="s">
        <v>63</v>
      </c>
      <c r="F186" s="826">
        <v>2.5</v>
      </c>
      <c r="G186" s="230">
        <f>28.25*45000</f>
        <v>1271250</v>
      </c>
      <c r="H186" s="231">
        <f t="shared" si="8"/>
        <v>3178125</v>
      </c>
      <c r="I186" s="286"/>
      <c r="J186" s="155"/>
      <c r="K186" s="155"/>
      <c r="L186" s="155"/>
      <c r="M186" s="155"/>
      <c r="N186" s="155"/>
      <c r="O186" s="155"/>
      <c r="P186" s="155"/>
      <c r="Q186" s="155"/>
    </row>
    <row r="187" spans="1:17" s="115" customFormat="1" ht="18.75">
      <c r="A187" s="116" t="s">
        <v>1363</v>
      </c>
      <c r="B187" s="229" t="s">
        <v>1584</v>
      </c>
      <c r="C187" s="128" t="s">
        <v>1583</v>
      </c>
      <c r="D187" s="212"/>
      <c r="E187" s="212" t="s">
        <v>10</v>
      </c>
      <c r="F187" s="813">
        <v>2</v>
      </c>
      <c r="G187" s="230">
        <v>750000</v>
      </c>
      <c r="H187" s="231">
        <f t="shared" si="8"/>
        <v>1500000</v>
      </c>
      <c r="I187" s="232"/>
      <c r="J187" s="155"/>
      <c r="K187" s="155"/>
      <c r="L187" s="155"/>
      <c r="M187" s="155"/>
      <c r="N187" s="155"/>
      <c r="O187" s="155"/>
      <c r="P187" s="155"/>
      <c r="Q187" s="155"/>
    </row>
    <row r="188" spans="1:17" s="115" customFormat="1" ht="18.75">
      <c r="A188" s="116" t="s">
        <v>1365</v>
      </c>
      <c r="B188" s="8" t="s">
        <v>1585</v>
      </c>
      <c r="C188" s="129"/>
      <c r="D188" s="212"/>
      <c r="E188" s="212" t="s">
        <v>10</v>
      </c>
      <c r="F188" s="840">
        <v>4</v>
      </c>
      <c r="G188" s="230">
        <v>380000</v>
      </c>
      <c r="H188" s="231">
        <f t="shared" si="8"/>
        <v>1520000</v>
      </c>
      <c r="I188" s="232"/>
      <c r="J188" s="155"/>
      <c r="K188" s="155"/>
      <c r="L188" s="155"/>
      <c r="M188" s="155"/>
      <c r="N188" s="155"/>
      <c r="O188" s="155"/>
      <c r="P188" s="155"/>
      <c r="Q188" s="155"/>
    </row>
    <row r="189" spans="1:17" s="115" customFormat="1" ht="18.75">
      <c r="A189" s="116" t="s">
        <v>1367</v>
      </c>
      <c r="B189" s="8" t="s">
        <v>1586</v>
      </c>
      <c r="C189" s="128" t="s">
        <v>1587</v>
      </c>
      <c r="D189" s="212"/>
      <c r="E189" s="212" t="s">
        <v>63</v>
      </c>
      <c r="F189" s="826">
        <v>8</v>
      </c>
      <c r="G189" s="230">
        <f>16.07*45000</f>
        <v>723150</v>
      </c>
      <c r="H189" s="231">
        <f t="shared" si="8"/>
        <v>5785200</v>
      </c>
      <c r="I189" s="232"/>
      <c r="J189" s="155"/>
      <c r="K189" s="155"/>
      <c r="L189" s="155"/>
      <c r="M189" s="155"/>
      <c r="N189" s="155"/>
      <c r="O189" s="155"/>
      <c r="P189" s="155"/>
      <c r="Q189" s="155"/>
    </row>
    <row r="190" spans="1:17" s="115" customFormat="1" ht="18.75">
      <c r="A190" s="116" t="s">
        <v>1457</v>
      </c>
      <c r="B190" s="229" t="s">
        <v>1588</v>
      </c>
      <c r="C190" s="128" t="s">
        <v>1587</v>
      </c>
      <c r="D190" s="212"/>
      <c r="E190" s="212" t="s">
        <v>10</v>
      </c>
      <c r="F190" s="813">
        <v>5</v>
      </c>
      <c r="G190" s="230">
        <v>550000</v>
      </c>
      <c r="H190" s="231">
        <f t="shared" si="8"/>
        <v>2750000</v>
      </c>
      <c r="I190" s="232"/>
      <c r="J190" s="155"/>
      <c r="K190" s="155"/>
      <c r="L190" s="155"/>
      <c r="M190" s="155"/>
      <c r="N190" s="155"/>
      <c r="O190" s="155"/>
      <c r="P190" s="155"/>
      <c r="Q190" s="155"/>
    </row>
    <row r="191" spans="1:17" s="115" customFormat="1" ht="18.75">
      <c r="A191" s="116" t="s">
        <v>1459</v>
      </c>
      <c r="B191" s="8" t="s">
        <v>1589</v>
      </c>
      <c r="C191" s="129"/>
      <c r="D191" s="212"/>
      <c r="E191" s="212" t="s">
        <v>10</v>
      </c>
      <c r="F191" s="840">
        <v>5</v>
      </c>
      <c r="G191" s="230">
        <v>250000</v>
      </c>
      <c r="H191" s="231">
        <f t="shared" si="8"/>
        <v>1250000</v>
      </c>
      <c r="I191" s="286"/>
      <c r="J191" s="155"/>
      <c r="K191" s="155"/>
      <c r="L191" s="155"/>
      <c r="M191" s="155"/>
      <c r="N191" s="155"/>
      <c r="O191" s="155"/>
      <c r="P191" s="155"/>
      <c r="Q191" s="155"/>
    </row>
    <row r="192" spans="1:17" s="115" customFormat="1" ht="18.75">
      <c r="A192" s="116" t="s">
        <v>1461</v>
      </c>
      <c r="B192" s="8" t="s">
        <v>1590</v>
      </c>
      <c r="C192" s="128" t="s">
        <v>1591</v>
      </c>
      <c r="D192" s="212"/>
      <c r="E192" s="212" t="s">
        <v>63</v>
      </c>
      <c r="F192" s="840">
        <v>3</v>
      </c>
      <c r="G192" s="230">
        <f>5.43*47000</f>
        <v>255210</v>
      </c>
      <c r="H192" s="231">
        <f t="shared" si="8"/>
        <v>765630</v>
      </c>
      <c r="I192" s="232"/>
      <c r="J192" s="155"/>
      <c r="K192" s="155"/>
      <c r="L192" s="155"/>
      <c r="M192" s="155"/>
      <c r="N192" s="155"/>
      <c r="O192" s="155"/>
      <c r="P192" s="155"/>
      <c r="Q192" s="155"/>
    </row>
    <row r="193" spans="1:17" s="115" customFormat="1" ht="18.75">
      <c r="A193" s="116" t="s">
        <v>1463</v>
      </c>
      <c r="B193" s="8" t="s">
        <v>1592</v>
      </c>
      <c r="C193" s="128" t="s">
        <v>1593</v>
      </c>
      <c r="D193" s="212"/>
      <c r="E193" s="212" t="s">
        <v>63</v>
      </c>
      <c r="F193" s="840">
        <v>6</v>
      </c>
      <c r="G193" s="230">
        <f>4.05*47000</f>
        <v>190350</v>
      </c>
      <c r="H193" s="231">
        <f t="shared" si="8"/>
        <v>1142100</v>
      </c>
      <c r="I193" s="232"/>
      <c r="J193" s="155"/>
      <c r="K193" s="155"/>
      <c r="L193" s="155"/>
      <c r="M193" s="155"/>
      <c r="N193" s="155"/>
      <c r="O193" s="155"/>
      <c r="P193" s="155"/>
      <c r="Q193" s="155"/>
    </row>
    <row r="194" spans="1:17" s="115" customFormat="1" ht="18.75">
      <c r="A194" s="116" t="s">
        <v>1465</v>
      </c>
      <c r="B194" s="8" t="s">
        <v>1594</v>
      </c>
      <c r="C194" s="128" t="s">
        <v>1591</v>
      </c>
      <c r="D194" s="212"/>
      <c r="E194" s="212" t="s">
        <v>63</v>
      </c>
      <c r="F194" s="813">
        <v>0.8</v>
      </c>
      <c r="G194" s="230">
        <f>5.43*45000</f>
        <v>244350</v>
      </c>
      <c r="H194" s="231">
        <f t="shared" si="8"/>
        <v>195480</v>
      </c>
      <c r="I194" s="286"/>
      <c r="J194" s="155"/>
      <c r="K194" s="155"/>
      <c r="L194" s="155"/>
      <c r="M194" s="155"/>
      <c r="N194" s="155"/>
      <c r="O194" s="155"/>
      <c r="P194" s="155"/>
      <c r="Q194" s="155"/>
    </row>
    <row r="195" spans="1:17" s="115" customFormat="1" ht="18.75">
      <c r="A195" s="116" t="s">
        <v>1467</v>
      </c>
      <c r="B195" s="229" t="s">
        <v>1595</v>
      </c>
      <c r="C195" s="128" t="s">
        <v>1591</v>
      </c>
      <c r="D195" s="212"/>
      <c r="E195" s="212" t="s">
        <v>10</v>
      </c>
      <c r="F195" s="813">
        <v>2</v>
      </c>
      <c r="G195" s="230">
        <v>175000</v>
      </c>
      <c r="H195" s="231">
        <f t="shared" si="8"/>
        <v>350000</v>
      </c>
      <c r="I195" s="232"/>
      <c r="J195" s="155"/>
      <c r="K195" s="155"/>
      <c r="L195" s="155"/>
      <c r="M195" s="155"/>
      <c r="N195" s="155"/>
      <c r="O195" s="155"/>
      <c r="P195" s="155"/>
      <c r="Q195" s="155"/>
    </row>
    <row r="196" spans="1:17" s="115" customFormat="1" ht="18.75">
      <c r="A196" s="116" t="s">
        <v>1469</v>
      </c>
      <c r="B196" s="8" t="s">
        <v>1592</v>
      </c>
      <c r="C196" s="128" t="s">
        <v>1593</v>
      </c>
      <c r="D196" s="212"/>
      <c r="E196" s="212" t="s">
        <v>63</v>
      </c>
      <c r="F196" s="840">
        <v>17</v>
      </c>
      <c r="G196" s="230">
        <f>4.05*47000</f>
        <v>190350</v>
      </c>
      <c r="H196" s="231">
        <f t="shared" si="8"/>
        <v>3235950</v>
      </c>
      <c r="I196" s="286"/>
      <c r="J196" s="155"/>
      <c r="K196" s="155"/>
      <c r="L196" s="155"/>
      <c r="M196" s="155"/>
      <c r="N196" s="155"/>
      <c r="O196" s="155"/>
      <c r="P196" s="155"/>
      <c r="Q196" s="155"/>
    </row>
    <row r="197" spans="1:17" s="115" customFormat="1" ht="18.75">
      <c r="A197" s="116" t="s">
        <v>1471</v>
      </c>
      <c r="B197" s="229" t="s">
        <v>1596</v>
      </c>
      <c r="C197" s="128" t="s">
        <v>1593</v>
      </c>
      <c r="D197" s="212"/>
      <c r="E197" s="212" t="s">
        <v>10</v>
      </c>
      <c r="F197" s="813">
        <v>4</v>
      </c>
      <c r="G197" s="230">
        <v>125000</v>
      </c>
      <c r="H197" s="231">
        <f t="shared" si="8"/>
        <v>500000</v>
      </c>
      <c r="I197" s="232"/>
      <c r="J197" s="155"/>
      <c r="K197" s="155"/>
      <c r="L197" s="155"/>
      <c r="M197" s="155"/>
      <c r="N197" s="155"/>
      <c r="O197" s="155"/>
      <c r="P197" s="155"/>
      <c r="Q197" s="155"/>
    </row>
    <row r="198" spans="1:17" s="115" customFormat="1" ht="18.75">
      <c r="A198" s="116" t="s">
        <v>1473</v>
      </c>
      <c r="B198" s="8" t="s">
        <v>1592</v>
      </c>
      <c r="C198" s="128" t="s">
        <v>1593</v>
      </c>
      <c r="D198" s="212"/>
      <c r="E198" s="212" t="s">
        <v>63</v>
      </c>
      <c r="F198" s="840">
        <v>5</v>
      </c>
      <c r="G198" s="230">
        <f>4.05*47000</f>
        <v>190350</v>
      </c>
      <c r="H198" s="231">
        <f t="shared" si="8"/>
        <v>951750</v>
      </c>
      <c r="I198" s="286"/>
      <c r="J198" s="155"/>
      <c r="K198" s="155"/>
      <c r="L198" s="155"/>
      <c r="M198" s="155"/>
      <c r="N198" s="155"/>
      <c r="O198" s="155"/>
      <c r="P198" s="155"/>
      <c r="Q198" s="155"/>
    </row>
    <row r="199" spans="1:17" s="115" customFormat="1" ht="18.75">
      <c r="A199" s="116" t="s">
        <v>1475</v>
      </c>
      <c r="B199" s="8" t="s">
        <v>1597</v>
      </c>
      <c r="C199" s="128" t="s">
        <v>1593</v>
      </c>
      <c r="D199" s="212"/>
      <c r="E199" s="212" t="s">
        <v>10</v>
      </c>
      <c r="F199" s="840">
        <v>6</v>
      </c>
      <c r="G199" s="230">
        <v>125000</v>
      </c>
      <c r="H199" s="231">
        <f t="shared" si="8"/>
        <v>750000</v>
      </c>
      <c r="I199" s="232"/>
      <c r="J199" s="155"/>
      <c r="K199" s="155"/>
      <c r="L199" s="155"/>
      <c r="M199" s="155"/>
      <c r="N199" s="155"/>
      <c r="O199" s="155"/>
      <c r="P199" s="155"/>
      <c r="Q199" s="155"/>
    </row>
    <row r="200" spans="1:17" s="115" customFormat="1" ht="18.75">
      <c r="A200" s="116" t="s">
        <v>1477</v>
      </c>
      <c r="B200" s="8" t="s">
        <v>1598</v>
      </c>
      <c r="C200" s="128" t="s">
        <v>1599</v>
      </c>
      <c r="D200" s="212"/>
      <c r="E200" s="212" t="s">
        <v>63</v>
      </c>
      <c r="F200" s="840">
        <v>2</v>
      </c>
      <c r="G200" s="230">
        <f>11.31*45000</f>
        <v>508950</v>
      </c>
      <c r="H200" s="231">
        <f t="shared" si="8"/>
        <v>1017900</v>
      </c>
      <c r="I200" s="232"/>
      <c r="J200" s="155"/>
      <c r="K200" s="155"/>
      <c r="L200" s="155"/>
      <c r="M200" s="155"/>
      <c r="N200" s="155"/>
      <c r="O200" s="155"/>
      <c r="P200" s="155"/>
      <c r="Q200" s="155"/>
    </row>
    <row r="201" spans="1:17" s="115" customFormat="1" ht="18.75">
      <c r="A201" s="116" t="s">
        <v>1479</v>
      </c>
      <c r="B201" s="229" t="s">
        <v>1600</v>
      </c>
      <c r="C201" s="128" t="s">
        <v>1599</v>
      </c>
      <c r="D201" s="212"/>
      <c r="E201" s="212" t="s">
        <v>10</v>
      </c>
      <c r="F201" s="826">
        <v>2</v>
      </c>
      <c r="G201" s="230">
        <v>195000</v>
      </c>
      <c r="H201" s="231">
        <f t="shared" si="8"/>
        <v>390000</v>
      </c>
      <c r="I201" s="232"/>
      <c r="J201" s="155"/>
      <c r="K201" s="155"/>
      <c r="L201" s="155"/>
      <c r="M201" s="155"/>
      <c r="N201" s="155"/>
      <c r="O201" s="155"/>
      <c r="P201" s="155"/>
      <c r="Q201" s="155"/>
    </row>
    <row r="202" spans="1:17" s="115" customFormat="1" ht="18.75">
      <c r="A202" s="116" t="s">
        <v>1482</v>
      </c>
      <c r="B202" s="8" t="s">
        <v>1601</v>
      </c>
      <c r="C202" s="129"/>
      <c r="D202" s="212"/>
      <c r="E202" s="212" t="s">
        <v>10</v>
      </c>
      <c r="F202" s="840">
        <v>2</v>
      </c>
      <c r="G202" s="230">
        <v>230000</v>
      </c>
      <c r="H202" s="231">
        <f t="shared" si="8"/>
        <v>460000</v>
      </c>
      <c r="I202" s="232"/>
      <c r="J202" s="155"/>
      <c r="K202" s="155"/>
      <c r="L202" s="155"/>
      <c r="M202" s="155"/>
      <c r="N202" s="155"/>
      <c r="O202" s="155"/>
      <c r="P202" s="155"/>
      <c r="Q202" s="155"/>
    </row>
    <row r="203" spans="1:17" s="112" customFormat="1" ht="16.5">
      <c r="A203" s="116" t="s">
        <v>1484</v>
      </c>
      <c r="B203" s="229" t="s">
        <v>1602</v>
      </c>
      <c r="C203" s="129"/>
      <c r="D203" s="226"/>
      <c r="E203" s="7" t="s">
        <v>44</v>
      </c>
      <c r="F203" s="813">
        <v>4</v>
      </c>
      <c r="G203" s="213">
        <v>250000</v>
      </c>
      <c r="H203" s="231">
        <f t="shared" si="8"/>
        <v>1000000</v>
      </c>
      <c r="I203" s="233"/>
      <c r="J203" s="148"/>
      <c r="K203" s="148"/>
      <c r="L203" s="148"/>
      <c r="M203" s="148"/>
      <c r="N203" s="148"/>
      <c r="O203" s="148"/>
      <c r="P203" s="148"/>
      <c r="Q203" s="148"/>
    </row>
    <row r="204" spans="1:17" s="115" customFormat="1" ht="18.75">
      <c r="A204" s="116" t="s">
        <v>1486</v>
      </c>
      <c r="B204" s="229" t="s">
        <v>1376</v>
      </c>
      <c r="C204" s="129"/>
      <c r="D204" s="7" t="s">
        <v>188</v>
      </c>
      <c r="E204" s="7" t="s">
        <v>44</v>
      </c>
      <c r="F204" s="813">
        <v>4.5</v>
      </c>
      <c r="G204" s="213">
        <v>49000</v>
      </c>
      <c r="H204" s="231">
        <f t="shared" si="8"/>
        <v>220500</v>
      </c>
      <c r="I204" s="233"/>
      <c r="J204" s="155"/>
      <c r="K204" s="155"/>
      <c r="L204" s="155"/>
      <c r="M204" s="155"/>
      <c r="N204" s="155"/>
      <c r="O204" s="155"/>
      <c r="P204" s="155"/>
      <c r="Q204" s="155"/>
    </row>
    <row r="205" spans="1:17" s="115" customFormat="1" ht="18.75">
      <c r="A205" s="116" t="s">
        <v>1488</v>
      </c>
      <c r="B205" s="65" t="s">
        <v>294</v>
      </c>
      <c r="C205" s="68" t="s">
        <v>1377</v>
      </c>
      <c r="D205" s="7" t="s">
        <v>188</v>
      </c>
      <c r="E205" s="7" t="s">
        <v>59</v>
      </c>
      <c r="F205" s="826">
        <v>5</v>
      </c>
      <c r="G205" s="213">
        <v>63000</v>
      </c>
      <c r="H205" s="231">
        <f t="shared" si="8"/>
        <v>315000</v>
      </c>
      <c r="I205" s="233"/>
      <c r="J205" s="155"/>
      <c r="K205" s="155"/>
      <c r="L205" s="155"/>
      <c r="M205" s="155"/>
      <c r="N205" s="155"/>
      <c r="O205" s="155"/>
      <c r="P205" s="155"/>
      <c r="Q205" s="155"/>
    </row>
    <row r="206" spans="1:17" s="113" customFormat="1" ht="18.75">
      <c r="A206" s="116" t="s">
        <v>1490</v>
      </c>
      <c r="B206" s="65" t="s">
        <v>60</v>
      </c>
      <c r="C206" s="7"/>
      <c r="D206" s="7" t="s">
        <v>188</v>
      </c>
      <c r="E206" s="7" t="s">
        <v>44</v>
      </c>
      <c r="F206" s="826">
        <v>11</v>
      </c>
      <c r="G206" s="213">
        <v>45000</v>
      </c>
      <c r="H206" s="231">
        <f t="shared" si="8"/>
        <v>495000</v>
      </c>
      <c r="I206" s="233"/>
      <c r="J206" s="148"/>
      <c r="K206" s="148"/>
      <c r="L206" s="148"/>
      <c r="M206" s="148"/>
      <c r="N206" s="148"/>
      <c r="O206" s="148"/>
      <c r="P206" s="148"/>
      <c r="Q206" s="148"/>
    </row>
    <row r="207" spans="1:17" s="115" customFormat="1" ht="18.75">
      <c r="A207" s="116" t="s">
        <v>1492</v>
      </c>
      <c r="B207" s="65" t="s">
        <v>52</v>
      </c>
      <c r="C207" s="7" t="s">
        <v>285</v>
      </c>
      <c r="D207" s="7" t="s">
        <v>39</v>
      </c>
      <c r="E207" s="7" t="s">
        <v>53</v>
      </c>
      <c r="F207" s="824">
        <v>4</v>
      </c>
      <c r="G207" s="213">
        <v>26000</v>
      </c>
      <c r="H207" s="231">
        <f t="shared" si="8"/>
        <v>104000</v>
      </c>
      <c r="I207" s="233"/>
      <c r="J207" s="155"/>
      <c r="K207" s="155"/>
      <c r="L207" s="155"/>
      <c r="M207" s="155"/>
      <c r="N207" s="155"/>
      <c r="O207" s="155"/>
      <c r="P207" s="155"/>
      <c r="Q207" s="155"/>
    </row>
    <row r="208" spans="1:17" s="115" customFormat="1" ht="18.75">
      <c r="A208" s="116" t="s">
        <v>1495</v>
      </c>
      <c r="B208" s="234" t="s">
        <v>1378</v>
      </c>
      <c r="C208" s="71" t="s">
        <v>285</v>
      </c>
      <c r="D208" s="7" t="s">
        <v>39</v>
      </c>
      <c r="E208" s="71" t="s">
        <v>53</v>
      </c>
      <c r="F208" s="825">
        <v>9</v>
      </c>
      <c r="G208" s="235">
        <v>12500</v>
      </c>
      <c r="H208" s="231">
        <f t="shared" si="8"/>
        <v>112500</v>
      </c>
      <c r="I208" s="233"/>
      <c r="J208" s="155"/>
      <c r="K208" s="155"/>
      <c r="L208" s="155"/>
      <c r="M208" s="155"/>
      <c r="N208" s="155"/>
      <c r="O208" s="155"/>
      <c r="P208" s="155"/>
      <c r="Q208" s="155"/>
    </row>
    <row r="209" spans="1:17" s="113" customFormat="1" ht="18.75">
      <c r="A209" s="149" t="s">
        <v>1646</v>
      </c>
      <c r="B209" s="141" t="s">
        <v>1379</v>
      </c>
      <c r="C209" s="73"/>
      <c r="D209" s="73"/>
      <c r="E209" s="191"/>
      <c r="F209" s="808"/>
      <c r="G209" s="146"/>
      <c r="H209" s="146">
        <f>+SUM(H210:H238)</f>
        <v>11305300</v>
      </c>
      <c r="I209" s="147"/>
      <c r="J209" s="148"/>
      <c r="K209" s="148"/>
      <c r="L209" s="148"/>
      <c r="M209" s="148"/>
      <c r="N209" s="148"/>
      <c r="O209" s="148"/>
      <c r="P209" s="148"/>
      <c r="Q209" s="148"/>
    </row>
    <row r="210" spans="1:17" s="113" customFormat="1" ht="18.75">
      <c r="A210" s="162">
        <v>1</v>
      </c>
      <c r="B210" s="236" t="s">
        <v>1332</v>
      </c>
      <c r="C210" s="3"/>
      <c r="D210" s="3"/>
      <c r="E210" s="193"/>
      <c r="F210" s="809"/>
      <c r="G210" s="165"/>
      <c r="H210" s="165"/>
      <c r="I210" s="166"/>
      <c r="J210" s="148"/>
      <c r="K210" s="148"/>
      <c r="L210" s="148"/>
      <c r="M210" s="148"/>
      <c r="N210" s="148"/>
      <c r="O210" s="148"/>
      <c r="P210" s="148"/>
      <c r="Q210" s="148"/>
    </row>
    <row r="211" spans="1:17" s="113" customFormat="1" ht="18.75">
      <c r="A211" s="175" t="s">
        <v>139</v>
      </c>
      <c r="B211" s="5" t="s">
        <v>1603</v>
      </c>
      <c r="C211" s="4"/>
      <c r="D211" s="4"/>
      <c r="E211" s="212"/>
      <c r="F211" s="813"/>
      <c r="G211" s="177"/>
      <c r="H211" s="177"/>
      <c r="I211" s="174"/>
      <c r="J211" s="148"/>
      <c r="K211" s="148"/>
      <c r="L211" s="148"/>
      <c r="M211" s="148"/>
      <c r="N211" s="148"/>
      <c r="O211" s="148"/>
      <c r="P211" s="148"/>
      <c r="Q211" s="148"/>
    </row>
    <row r="212" spans="1:17" s="113" customFormat="1" ht="31.5">
      <c r="A212" s="171" t="s">
        <v>8</v>
      </c>
      <c r="B212" s="8" t="s">
        <v>1604</v>
      </c>
      <c r="C212" s="4"/>
      <c r="D212" s="4"/>
      <c r="E212" s="128" t="s">
        <v>1381</v>
      </c>
      <c r="F212" s="841">
        <v>1</v>
      </c>
      <c r="G212" s="173">
        <v>3500000</v>
      </c>
      <c r="H212" s="173">
        <f>+G212*F212</f>
        <v>3500000</v>
      </c>
      <c r="I212" s="174"/>
      <c r="J212" s="148"/>
      <c r="K212" s="148"/>
      <c r="L212" s="148"/>
      <c r="M212" s="148"/>
      <c r="N212" s="148"/>
      <c r="O212" s="148"/>
      <c r="P212" s="148"/>
      <c r="Q212" s="148"/>
    </row>
    <row r="213" spans="1:17" s="115" customFormat="1" ht="18.75">
      <c r="A213" s="175">
        <v>2</v>
      </c>
      <c r="B213" s="5" t="s">
        <v>984</v>
      </c>
      <c r="C213" s="5"/>
      <c r="D213" s="69"/>
      <c r="E213" s="69"/>
      <c r="F213" s="819"/>
      <c r="G213" s="173"/>
      <c r="H213" s="177"/>
      <c r="I213" s="206"/>
      <c r="J213" s="155"/>
      <c r="K213" s="155"/>
      <c r="L213" s="155"/>
      <c r="M213" s="155"/>
      <c r="N213" s="155"/>
      <c r="O213" s="155"/>
      <c r="P213" s="155"/>
      <c r="Q213" s="155"/>
    </row>
    <row r="214" spans="1:17" s="115" customFormat="1" ht="18.75">
      <c r="A214" s="63" t="s">
        <v>139</v>
      </c>
      <c r="B214" s="256" t="s">
        <v>1605</v>
      </c>
      <c r="C214" s="63"/>
      <c r="D214" s="63"/>
      <c r="E214" s="282"/>
      <c r="F214" s="842"/>
      <c r="G214" s="287"/>
      <c r="H214" s="288"/>
      <c r="I214" s="181"/>
      <c r="J214" s="155"/>
      <c r="K214" s="155"/>
      <c r="L214" s="155"/>
      <c r="M214" s="155"/>
      <c r="N214" s="155"/>
      <c r="O214" s="155"/>
      <c r="P214" s="155"/>
      <c r="Q214" s="155"/>
    </row>
    <row r="215" spans="1:17" s="115" customFormat="1" ht="31.5">
      <c r="A215" s="7" t="s">
        <v>51</v>
      </c>
      <c r="B215" s="8" t="s">
        <v>1606</v>
      </c>
      <c r="C215" s="7" t="s">
        <v>1607</v>
      </c>
      <c r="D215" s="7"/>
      <c r="E215" s="68" t="s">
        <v>57</v>
      </c>
      <c r="F215" s="826">
        <v>2</v>
      </c>
      <c r="G215" s="289">
        <v>148000</v>
      </c>
      <c r="H215" s="290">
        <f t="shared" ref="H215:H238" si="9">+G215*F215</f>
        <v>296000</v>
      </c>
      <c r="I215" s="184"/>
      <c r="J215" s="155"/>
      <c r="K215" s="155"/>
      <c r="L215" s="155"/>
      <c r="M215" s="155"/>
      <c r="N215" s="155"/>
      <c r="O215" s="155"/>
      <c r="P215" s="155"/>
      <c r="Q215" s="155"/>
    </row>
    <row r="216" spans="1:17" s="115" customFormat="1" ht="18.75">
      <c r="A216" s="4" t="s">
        <v>139</v>
      </c>
      <c r="B216" s="5" t="s">
        <v>1608</v>
      </c>
      <c r="C216" s="4"/>
      <c r="D216" s="4"/>
      <c r="E216" s="68"/>
      <c r="F216" s="826"/>
      <c r="G216" s="289"/>
      <c r="H216" s="290">
        <f t="shared" si="9"/>
        <v>0</v>
      </c>
      <c r="I216" s="184"/>
      <c r="J216" s="155"/>
      <c r="K216" s="155"/>
      <c r="L216" s="155"/>
      <c r="M216" s="155"/>
      <c r="N216" s="155"/>
      <c r="O216" s="155"/>
      <c r="P216" s="155"/>
      <c r="Q216" s="155"/>
    </row>
    <row r="217" spans="1:17" s="115" customFormat="1" ht="18.75">
      <c r="A217" s="7" t="s">
        <v>1262</v>
      </c>
      <c r="B217" s="65" t="s">
        <v>1609</v>
      </c>
      <c r="C217" s="7" t="s">
        <v>285</v>
      </c>
      <c r="D217" s="68"/>
      <c r="E217" s="68" t="s">
        <v>10</v>
      </c>
      <c r="F217" s="826">
        <v>20</v>
      </c>
      <c r="G217" s="289">
        <v>9000</v>
      </c>
      <c r="H217" s="290">
        <f t="shared" si="9"/>
        <v>180000</v>
      </c>
      <c r="I217" s="184"/>
      <c r="J217" s="155"/>
      <c r="K217" s="155"/>
      <c r="L217" s="155"/>
      <c r="M217" s="155"/>
      <c r="N217" s="155"/>
      <c r="O217" s="155"/>
      <c r="P217" s="155"/>
      <c r="Q217" s="155"/>
    </row>
    <row r="218" spans="1:17" s="115" customFormat="1" ht="18.75">
      <c r="A218" s="4" t="s">
        <v>139</v>
      </c>
      <c r="B218" s="5" t="s">
        <v>1610</v>
      </c>
      <c r="C218" s="4"/>
      <c r="D218" s="4"/>
      <c r="E218" s="68"/>
      <c r="F218" s="826"/>
      <c r="G218" s="289"/>
      <c r="H218" s="290">
        <f t="shared" si="9"/>
        <v>0</v>
      </c>
      <c r="I218" s="184"/>
      <c r="J218" s="155"/>
      <c r="K218" s="155"/>
      <c r="L218" s="155"/>
      <c r="M218" s="155"/>
      <c r="N218" s="155"/>
      <c r="O218" s="155"/>
      <c r="P218" s="155"/>
      <c r="Q218" s="155"/>
    </row>
    <row r="219" spans="1:17" s="115" customFormat="1" ht="18.75">
      <c r="A219" s="7" t="s">
        <v>1265</v>
      </c>
      <c r="B219" s="65" t="s">
        <v>1611</v>
      </c>
      <c r="C219" s="7" t="s">
        <v>1612</v>
      </c>
      <c r="D219" s="136" t="s">
        <v>39</v>
      </c>
      <c r="E219" s="68" t="s">
        <v>59</v>
      </c>
      <c r="F219" s="826">
        <v>2</v>
      </c>
      <c r="G219" s="289">
        <v>468000</v>
      </c>
      <c r="H219" s="290">
        <f t="shared" si="9"/>
        <v>936000</v>
      </c>
      <c r="I219" s="184"/>
      <c r="J219" s="155"/>
      <c r="K219" s="155"/>
      <c r="L219" s="155"/>
      <c r="M219" s="155"/>
      <c r="N219" s="155"/>
      <c r="O219" s="155"/>
      <c r="P219" s="155"/>
      <c r="Q219" s="155"/>
    </row>
    <row r="220" spans="1:17" s="115" customFormat="1" ht="18.75">
      <c r="A220" s="7" t="s">
        <v>1343</v>
      </c>
      <c r="B220" s="8" t="s">
        <v>55</v>
      </c>
      <c r="C220" s="7"/>
      <c r="D220" s="136" t="s">
        <v>39</v>
      </c>
      <c r="E220" s="68" t="s">
        <v>44</v>
      </c>
      <c r="F220" s="826">
        <v>10</v>
      </c>
      <c r="G220" s="289">
        <v>16000</v>
      </c>
      <c r="H220" s="290">
        <f t="shared" si="9"/>
        <v>160000</v>
      </c>
      <c r="I220" s="184"/>
      <c r="J220" s="155"/>
      <c r="K220" s="155"/>
      <c r="L220" s="155"/>
      <c r="M220" s="155"/>
      <c r="N220" s="155"/>
      <c r="O220" s="155"/>
      <c r="P220" s="155"/>
      <c r="Q220" s="155"/>
    </row>
    <row r="221" spans="1:17" s="115" customFormat="1" ht="18.75">
      <c r="A221" s="7" t="s">
        <v>1345</v>
      </c>
      <c r="B221" s="8" t="s">
        <v>1613</v>
      </c>
      <c r="C221" s="7"/>
      <c r="D221" s="136" t="s">
        <v>39</v>
      </c>
      <c r="E221" s="68" t="s">
        <v>40</v>
      </c>
      <c r="F221" s="826">
        <v>5</v>
      </c>
      <c r="G221" s="289">
        <v>18000</v>
      </c>
      <c r="H221" s="290">
        <f t="shared" si="9"/>
        <v>90000</v>
      </c>
      <c r="I221" s="184"/>
      <c r="J221" s="155"/>
      <c r="K221" s="155"/>
      <c r="L221" s="155"/>
      <c r="M221" s="155"/>
      <c r="N221" s="155"/>
      <c r="O221" s="155"/>
      <c r="P221" s="155"/>
      <c r="Q221" s="155"/>
    </row>
    <row r="222" spans="1:17" s="115" customFormat="1" ht="18.75">
      <c r="A222" s="7" t="s">
        <v>1347</v>
      </c>
      <c r="B222" s="8" t="s">
        <v>61</v>
      </c>
      <c r="C222" s="7"/>
      <c r="D222" s="136" t="s">
        <v>39</v>
      </c>
      <c r="E222" s="68" t="s">
        <v>44</v>
      </c>
      <c r="F222" s="826">
        <v>5</v>
      </c>
      <c r="G222" s="289">
        <v>119000</v>
      </c>
      <c r="H222" s="290">
        <f t="shared" si="9"/>
        <v>595000</v>
      </c>
      <c r="I222" s="184"/>
      <c r="J222" s="155"/>
      <c r="K222" s="155"/>
      <c r="L222" s="155"/>
      <c r="M222" s="155"/>
      <c r="N222" s="155"/>
      <c r="O222" s="155"/>
      <c r="P222" s="155"/>
      <c r="Q222" s="155"/>
    </row>
    <row r="223" spans="1:17" s="115" customFormat="1" ht="18.75">
      <c r="A223" s="7" t="s">
        <v>1361</v>
      </c>
      <c r="B223" s="8" t="s">
        <v>1614</v>
      </c>
      <c r="C223" s="4"/>
      <c r="D223" s="136" t="s">
        <v>39</v>
      </c>
      <c r="E223" s="68" t="s">
        <v>10</v>
      </c>
      <c r="F223" s="826">
        <v>10</v>
      </c>
      <c r="G223" s="289">
        <v>45000</v>
      </c>
      <c r="H223" s="290">
        <f t="shared" si="9"/>
        <v>450000</v>
      </c>
      <c r="I223" s="184"/>
      <c r="J223" s="155"/>
      <c r="K223" s="155"/>
      <c r="L223" s="155"/>
      <c r="M223" s="155"/>
      <c r="N223" s="155"/>
      <c r="O223" s="155"/>
      <c r="P223" s="155"/>
      <c r="Q223" s="155"/>
    </row>
    <row r="224" spans="1:17" s="115" customFormat="1" ht="18.75">
      <c r="A224" s="7" t="s">
        <v>1363</v>
      </c>
      <c r="B224" s="8" t="s">
        <v>1615</v>
      </c>
      <c r="C224" s="7" t="s">
        <v>1616</v>
      </c>
      <c r="D224" s="136" t="s">
        <v>39</v>
      </c>
      <c r="E224" s="68" t="s">
        <v>40</v>
      </c>
      <c r="F224" s="826">
        <v>5</v>
      </c>
      <c r="G224" s="289">
        <v>93000</v>
      </c>
      <c r="H224" s="290">
        <f t="shared" si="9"/>
        <v>465000</v>
      </c>
      <c r="I224" s="184"/>
      <c r="J224" s="155"/>
      <c r="K224" s="155"/>
      <c r="L224" s="155"/>
      <c r="M224" s="155"/>
      <c r="N224" s="155"/>
      <c r="O224" s="155"/>
      <c r="P224" s="155"/>
      <c r="Q224" s="155"/>
    </row>
    <row r="225" spans="1:17" s="115" customFormat="1" ht="18.75">
      <c r="A225" s="7" t="s">
        <v>1365</v>
      </c>
      <c r="B225" s="8" t="s">
        <v>1617</v>
      </c>
      <c r="C225" s="7" t="s">
        <v>1618</v>
      </c>
      <c r="D225" s="136" t="s">
        <v>39</v>
      </c>
      <c r="E225" s="68" t="s">
        <v>40</v>
      </c>
      <c r="F225" s="826">
        <v>5</v>
      </c>
      <c r="G225" s="289">
        <v>274000</v>
      </c>
      <c r="H225" s="290">
        <f t="shared" si="9"/>
        <v>1370000</v>
      </c>
      <c r="I225" s="184"/>
      <c r="J225" s="155"/>
      <c r="K225" s="155"/>
      <c r="L225" s="155"/>
      <c r="M225" s="155"/>
      <c r="N225" s="155"/>
      <c r="O225" s="155"/>
      <c r="P225" s="155"/>
      <c r="Q225" s="155"/>
    </row>
    <row r="226" spans="1:17" s="115" customFormat="1" ht="18.75">
      <c r="A226" s="7" t="s">
        <v>1367</v>
      </c>
      <c r="B226" s="8" t="s">
        <v>1619</v>
      </c>
      <c r="C226" s="7" t="s">
        <v>1403</v>
      </c>
      <c r="D226" s="136" t="s">
        <v>39</v>
      </c>
      <c r="E226" s="68" t="s">
        <v>10</v>
      </c>
      <c r="F226" s="826">
        <v>3</v>
      </c>
      <c r="G226" s="289">
        <v>6000</v>
      </c>
      <c r="H226" s="290">
        <f t="shared" si="9"/>
        <v>18000</v>
      </c>
      <c r="I226" s="184"/>
      <c r="J226" s="155"/>
      <c r="K226" s="155"/>
      <c r="L226" s="155"/>
      <c r="M226" s="155"/>
      <c r="N226" s="155"/>
      <c r="O226" s="155"/>
      <c r="P226" s="155"/>
      <c r="Q226" s="155"/>
    </row>
    <row r="227" spans="1:17" s="115" customFormat="1" ht="18.75">
      <c r="A227" s="7" t="s">
        <v>1457</v>
      </c>
      <c r="B227" s="65" t="s">
        <v>1609</v>
      </c>
      <c r="C227" s="7" t="s">
        <v>285</v>
      </c>
      <c r="D227" s="136" t="s">
        <v>39</v>
      </c>
      <c r="E227" s="68" t="s">
        <v>10</v>
      </c>
      <c r="F227" s="826">
        <v>10</v>
      </c>
      <c r="G227" s="289">
        <v>9000</v>
      </c>
      <c r="H227" s="290">
        <f t="shared" si="9"/>
        <v>90000</v>
      </c>
      <c r="I227" s="184"/>
      <c r="J227" s="155"/>
      <c r="K227" s="155"/>
      <c r="L227" s="155"/>
      <c r="M227" s="155"/>
      <c r="N227" s="155"/>
      <c r="O227" s="155"/>
      <c r="P227" s="155"/>
      <c r="Q227" s="155"/>
    </row>
    <row r="228" spans="1:17" s="115" customFormat="1" ht="31.5">
      <c r="A228" s="7" t="s">
        <v>1459</v>
      </c>
      <c r="B228" s="8" t="s">
        <v>1620</v>
      </c>
      <c r="C228" s="7" t="s">
        <v>1621</v>
      </c>
      <c r="D228" s="7"/>
      <c r="E228" s="68" t="s">
        <v>32</v>
      </c>
      <c r="F228" s="826">
        <v>8</v>
      </c>
      <c r="G228" s="289">
        <v>16500</v>
      </c>
      <c r="H228" s="290">
        <f t="shared" si="9"/>
        <v>132000</v>
      </c>
      <c r="I228" s="184"/>
      <c r="J228" s="155"/>
      <c r="K228" s="155"/>
      <c r="L228" s="155"/>
      <c r="M228" s="155"/>
      <c r="N228" s="155"/>
      <c r="O228" s="155"/>
      <c r="P228" s="155"/>
      <c r="Q228" s="155"/>
    </row>
    <row r="229" spans="1:17" s="115" customFormat="1" ht="31.5">
      <c r="A229" s="7" t="s">
        <v>1461</v>
      </c>
      <c r="B229" s="8" t="s">
        <v>1622</v>
      </c>
      <c r="C229" s="7" t="s">
        <v>1621</v>
      </c>
      <c r="D229" s="7"/>
      <c r="E229" s="68" t="s">
        <v>32</v>
      </c>
      <c r="F229" s="826">
        <v>10</v>
      </c>
      <c r="G229" s="289">
        <v>18500</v>
      </c>
      <c r="H229" s="290">
        <f t="shared" si="9"/>
        <v>185000</v>
      </c>
      <c r="I229" s="184"/>
      <c r="J229" s="155"/>
      <c r="K229" s="155"/>
      <c r="L229" s="155"/>
      <c r="M229" s="155"/>
      <c r="N229" s="155"/>
      <c r="O229" s="155"/>
      <c r="P229" s="155"/>
      <c r="Q229" s="155"/>
    </row>
    <row r="230" spans="1:17" s="115" customFormat="1" ht="18.75">
      <c r="A230" s="7" t="s">
        <v>1463</v>
      </c>
      <c r="B230" s="8" t="s">
        <v>1623</v>
      </c>
      <c r="C230" s="4"/>
      <c r="D230" s="136" t="s">
        <v>39</v>
      </c>
      <c r="E230" s="68" t="s">
        <v>10</v>
      </c>
      <c r="F230" s="826">
        <v>2</v>
      </c>
      <c r="G230" s="289">
        <v>15000</v>
      </c>
      <c r="H230" s="290">
        <f t="shared" si="9"/>
        <v>30000</v>
      </c>
      <c r="I230" s="184"/>
      <c r="J230" s="155"/>
      <c r="K230" s="155"/>
      <c r="L230" s="155"/>
      <c r="M230" s="155"/>
      <c r="N230" s="155"/>
      <c r="O230" s="155"/>
      <c r="P230" s="155"/>
      <c r="Q230" s="155"/>
    </row>
    <row r="231" spans="1:17" s="115" customFormat="1" ht="31.5">
      <c r="A231" s="4" t="s">
        <v>139</v>
      </c>
      <c r="B231" s="5" t="s">
        <v>1624</v>
      </c>
      <c r="C231" s="4"/>
      <c r="D231" s="4"/>
      <c r="E231" s="68"/>
      <c r="F231" s="826"/>
      <c r="G231" s="289"/>
      <c r="H231" s="290">
        <f t="shared" si="9"/>
        <v>0</v>
      </c>
      <c r="I231" s="184"/>
      <c r="J231" s="155"/>
      <c r="K231" s="155"/>
      <c r="L231" s="155"/>
      <c r="M231" s="155"/>
      <c r="N231" s="155"/>
      <c r="O231" s="155"/>
      <c r="P231" s="155"/>
      <c r="Q231" s="155"/>
    </row>
    <row r="232" spans="1:17" s="115" customFormat="1" ht="18.75">
      <c r="A232" s="7" t="s">
        <v>1465</v>
      </c>
      <c r="B232" s="8" t="s">
        <v>55</v>
      </c>
      <c r="C232" s="7"/>
      <c r="D232" s="136" t="s">
        <v>39</v>
      </c>
      <c r="E232" s="68" t="s">
        <v>44</v>
      </c>
      <c r="F232" s="826">
        <v>10</v>
      </c>
      <c r="G232" s="289">
        <v>16000</v>
      </c>
      <c r="H232" s="290">
        <f t="shared" si="9"/>
        <v>160000</v>
      </c>
      <c r="I232" s="184"/>
      <c r="J232" s="155"/>
      <c r="K232" s="155"/>
      <c r="L232" s="155"/>
      <c r="M232" s="155"/>
      <c r="N232" s="155"/>
      <c r="O232" s="155"/>
      <c r="P232" s="155"/>
      <c r="Q232" s="155"/>
    </row>
    <row r="233" spans="1:17" s="115" customFormat="1" ht="18.75">
      <c r="A233" s="7" t="s">
        <v>1467</v>
      </c>
      <c r="B233" s="8" t="s">
        <v>1613</v>
      </c>
      <c r="C233" s="7"/>
      <c r="D233" s="136" t="s">
        <v>39</v>
      </c>
      <c r="E233" s="68" t="s">
        <v>40</v>
      </c>
      <c r="F233" s="826">
        <v>10</v>
      </c>
      <c r="G233" s="289">
        <v>18000</v>
      </c>
      <c r="H233" s="290">
        <f t="shared" si="9"/>
        <v>180000</v>
      </c>
      <c r="I233" s="184"/>
      <c r="J233" s="155"/>
      <c r="K233" s="155"/>
      <c r="L233" s="155"/>
      <c r="M233" s="155"/>
      <c r="N233" s="155"/>
      <c r="O233" s="155"/>
      <c r="P233" s="155"/>
      <c r="Q233" s="155"/>
    </row>
    <row r="234" spans="1:17" s="115" customFormat="1" ht="18.75">
      <c r="A234" s="7" t="s">
        <v>1469</v>
      </c>
      <c r="B234" s="8" t="s">
        <v>61</v>
      </c>
      <c r="C234" s="7"/>
      <c r="D234" s="136" t="s">
        <v>39</v>
      </c>
      <c r="E234" s="68" t="s">
        <v>44</v>
      </c>
      <c r="F234" s="826">
        <v>5</v>
      </c>
      <c r="G234" s="289">
        <v>119000</v>
      </c>
      <c r="H234" s="290">
        <f t="shared" si="9"/>
        <v>595000</v>
      </c>
      <c r="I234" s="184"/>
      <c r="J234" s="155"/>
      <c r="K234" s="155"/>
      <c r="L234" s="155"/>
      <c r="M234" s="155"/>
      <c r="N234" s="155"/>
      <c r="O234" s="155"/>
      <c r="P234" s="155"/>
      <c r="Q234" s="155"/>
    </row>
    <row r="235" spans="1:17" s="115" customFormat="1" ht="18.75">
      <c r="A235" s="7" t="s">
        <v>1471</v>
      </c>
      <c r="B235" s="8" t="s">
        <v>1625</v>
      </c>
      <c r="C235" s="7" t="s">
        <v>1616</v>
      </c>
      <c r="D235" s="136" t="s">
        <v>39</v>
      </c>
      <c r="E235" s="68" t="s">
        <v>40</v>
      </c>
      <c r="F235" s="826">
        <v>5</v>
      </c>
      <c r="G235" s="289">
        <v>90530</v>
      </c>
      <c r="H235" s="290">
        <f t="shared" si="9"/>
        <v>452650</v>
      </c>
      <c r="I235" s="184"/>
      <c r="J235" s="155"/>
      <c r="K235" s="155"/>
      <c r="L235" s="155"/>
      <c r="M235" s="155"/>
      <c r="N235" s="155"/>
      <c r="O235" s="155"/>
      <c r="P235" s="155"/>
      <c r="Q235" s="155"/>
    </row>
    <row r="236" spans="1:17" s="115" customFormat="1" ht="18.75">
      <c r="A236" s="7" t="s">
        <v>1473</v>
      </c>
      <c r="B236" s="8" t="s">
        <v>1617</v>
      </c>
      <c r="C236" s="7" t="s">
        <v>1618</v>
      </c>
      <c r="D236" s="136" t="s">
        <v>39</v>
      </c>
      <c r="E236" s="68" t="s">
        <v>40</v>
      </c>
      <c r="F236" s="826">
        <v>5</v>
      </c>
      <c r="G236" s="289">
        <v>86130</v>
      </c>
      <c r="H236" s="290">
        <f t="shared" si="9"/>
        <v>430650</v>
      </c>
      <c r="I236" s="184"/>
      <c r="J236" s="155"/>
      <c r="K236" s="155"/>
      <c r="L236" s="155"/>
      <c r="M236" s="155"/>
      <c r="N236" s="155"/>
      <c r="O236" s="155"/>
      <c r="P236" s="155"/>
      <c r="Q236" s="155"/>
    </row>
    <row r="237" spans="1:17" s="115" customFormat="1" ht="18.75">
      <c r="A237" s="7" t="s">
        <v>1475</v>
      </c>
      <c r="B237" s="65" t="s">
        <v>1609</v>
      </c>
      <c r="C237" s="7" t="s">
        <v>285</v>
      </c>
      <c r="D237" s="136" t="s">
        <v>39</v>
      </c>
      <c r="E237" s="68" t="s">
        <v>10</v>
      </c>
      <c r="F237" s="826">
        <v>10</v>
      </c>
      <c r="G237" s="289">
        <v>9000</v>
      </c>
      <c r="H237" s="290">
        <f t="shared" si="9"/>
        <v>90000</v>
      </c>
      <c r="I237" s="184"/>
      <c r="J237" s="155"/>
      <c r="K237" s="155"/>
      <c r="L237" s="155"/>
      <c r="M237" s="155"/>
      <c r="N237" s="155"/>
      <c r="O237" s="155"/>
      <c r="P237" s="155"/>
      <c r="Q237" s="155"/>
    </row>
    <row r="238" spans="1:17" s="115" customFormat="1" ht="18.75">
      <c r="A238" s="7" t="s">
        <v>1477</v>
      </c>
      <c r="B238" s="15" t="s">
        <v>1626</v>
      </c>
      <c r="C238" s="14"/>
      <c r="D238" s="14"/>
      <c r="E238" s="68" t="s">
        <v>10</v>
      </c>
      <c r="F238" s="826">
        <v>2</v>
      </c>
      <c r="G238" s="289">
        <v>450000</v>
      </c>
      <c r="H238" s="290">
        <f t="shared" si="9"/>
        <v>900000</v>
      </c>
      <c r="I238" s="184"/>
      <c r="J238" s="155"/>
      <c r="K238" s="155"/>
      <c r="L238" s="155"/>
      <c r="M238" s="155"/>
      <c r="N238" s="155"/>
      <c r="O238" s="155"/>
      <c r="P238" s="155"/>
      <c r="Q238" s="155"/>
    </row>
    <row r="239" spans="1:17" s="130" customFormat="1" ht="18.75">
      <c r="A239" s="73" t="s">
        <v>1214</v>
      </c>
      <c r="B239" s="141" t="s">
        <v>1384</v>
      </c>
      <c r="C239" s="73"/>
      <c r="D239" s="73"/>
      <c r="E239" s="238"/>
      <c r="F239" s="808"/>
      <c r="G239" s="146"/>
      <c r="H239" s="146">
        <f>+SUM(H240:H257)</f>
        <v>7265500</v>
      </c>
      <c r="I239" s="239"/>
      <c r="J239" s="240"/>
      <c r="K239" s="240"/>
      <c r="L239" s="240"/>
      <c r="M239" s="240"/>
      <c r="N239" s="240"/>
      <c r="O239" s="240"/>
      <c r="P239" s="240"/>
      <c r="Q239" s="240"/>
    </row>
    <row r="240" spans="1:17" s="113" customFormat="1" ht="18.75">
      <c r="A240" s="175">
        <v>2</v>
      </c>
      <c r="B240" s="5" t="s">
        <v>984</v>
      </c>
      <c r="C240" s="4"/>
      <c r="D240" s="250"/>
      <c r="E240" s="4"/>
      <c r="F240" s="814"/>
      <c r="G240" s="230"/>
      <c r="H240" s="251"/>
      <c r="I240" s="206"/>
      <c r="J240" s="148"/>
      <c r="K240" s="148"/>
      <c r="L240" s="148"/>
      <c r="M240" s="148"/>
      <c r="N240" s="148"/>
      <c r="O240" s="148"/>
      <c r="P240" s="148"/>
      <c r="Q240" s="148"/>
    </row>
    <row r="241" spans="1:17" s="115" customFormat="1" ht="18.75">
      <c r="A241" s="291" t="s">
        <v>139</v>
      </c>
      <c r="B241" s="292" t="s">
        <v>1627</v>
      </c>
      <c r="C241" s="140"/>
      <c r="D241" s="293"/>
      <c r="E241" s="291"/>
      <c r="F241" s="842"/>
      <c r="G241" s="294"/>
      <c r="H241" s="231"/>
      <c r="I241" s="295"/>
      <c r="J241" s="155"/>
      <c r="K241" s="155"/>
      <c r="L241" s="155"/>
      <c r="M241" s="155"/>
      <c r="N241" s="155"/>
      <c r="O241" s="155"/>
      <c r="P241" s="155"/>
      <c r="Q241" s="155"/>
    </row>
    <row r="242" spans="1:17" s="115" customFormat="1" ht="18.75">
      <c r="A242" s="68" t="s">
        <v>51</v>
      </c>
      <c r="B242" s="252" t="s">
        <v>1628</v>
      </c>
      <c r="C242" s="7">
        <v>6206</v>
      </c>
      <c r="D242" s="68" t="s">
        <v>1394</v>
      </c>
      <c r="E242" s="68" t="s">
        <v>10</v>
      </c>
      <c r="F242" s="826">
        <v>4</v>
      </c>
      <c r="G242" s="230">
        <v>250000</v>
      </c>
      <c r="H242" s="231">
        <f t="shared" ref="H242:H257" si="10">G242*F242</f>
        <v>1000000</v>
      </c>
      <c r="I242" s="184"/>
      <c r="J242" s="155"/>
      <c r="K242" s="155"/>
      <c r="L242" s="155"/>
      <c r="M242" s="155"/>
      <c r="N242" s="155"/>
      <c r="O242" s="155"/>
      <c r="P242" s="155"/>
      <c r="Q242" s="155"/>
    </row>
    <row r="243" spans="1:17" s="115" customFormat="1" ht="18.75">
      <c r="A243" s="68" t="s">
        <v>1262</v>
      </c>
      <c r="B243" s="65" t="s">
        <v>1629</v>
      </c>
      <c r="C243" s="7">
        <v>6203</v>
      </c>
      <c r="D243" s="68" t="s">
        <v>1394</v>
      </c>
      <c r="E243" s="68" t="s">
        <v>10</v>
      </c>
      <c r="F243" s="826">
        <v>1</v>
      </c>
      <c r="G243" s="213">
        <v>220000</v>
      </c>
      <c r="H243" s="231">
        <f t="shared" si="10"/>
        <v>220000</v>
      </c>
      <c r="I243" s="296"/>
      <c r="J243" s="155"/>
      <c r="K243" s="155"/>
      <c r="L243" s="155"/>
      <c r="M243" s="155"/>
      <c r="N243" s="155"/>
      <c r="O243" s="155"/>
      <c r="P243" s="155"/>
      <c r="Q243" s="155"/>
    </row>
    <row r="244" spans="1:17" s="115" customFormat="1" ht="18.75">
      <c r="A244" s="68" t="s">
        <v>1265</v>
      </c>
      <c r="B244" s="65" t="s">
        <v>1629</v>
      </c>
      <c r="C244" s="7">
        <v>6205</v>
      </c>
      <c r="D244" s="68" t="s">
        <v>1394</v>
      </c>
      <c r="E244" s="68" t="s">
        <v>10</v>
      </c>
      <c r="F244" s="826">
        <v>1</v>
      </c>
      <c r="G244" s="230">
        <v>240000</v>
      </c>
      <c r="H244" s="231">
        <f t="shared" si="10"/>
        <v>240000</v>
      </c>
      <c r="I244" s="184"/>
      <c r="J244" s="155"/>
      <c r="K244" s="155"/>
      <c r="L244" s="155"/>
      <c r="M244" s="155"/>
      <c r="N244" s="155"/>
      <c r="O244" s="155"/>
      <c r="P244" s="155"/>
      <c r="Q244" s="155"/>
    </row>
    <row r="245" spans="1:17" s="115" customFormat="1" ht="18.75">
      <c r="A245" s="68" t="s">
        <v>1343</v>
      </c>
      <c r="B245" s="65" t="s">
        <v>1630</v>
      </c>
      <c r="C245" s="7">
        <v>6206</v>
      </c>
      <c r="D245" s="68" t="s">
        <v>1394</v>
      </c>
      <c r="E245" s="68" t="s">
        <v>10</v>
      </c>
      <c r="F245" s="826">
        <v>2</v>
      </c>
      <c r="G245" s="230">
        <v>250000</v>
      </c>
      <c r="H245" s="231">
        <f t="shared" si="10"/>
        <v>500000</v>
      </c>
      <c r="I245" s="184"/>
      <c r="J245" s="155"/>
      <c r="K245" s="155"/>
      <c r="L245" s="155"/>
      <c r="M245" s="155"/>
      <c r="N245" s="155"/>
      <c r="O245" s="155"/>
      <c r="P245" s="155"/>
      <c r="Q245" s="155"/>
    </row>
    <row r="246" spans="1:17" s="115" customFormat="1" ht="18.75">
      <c r="A246" s="68" t="s">
        <v>1345</v>
      </c>
      <c r="B246" s="65" t="s">
        <v>1631</v>
      </c>
      <c r="C246" s="7">
        <v>6203</v>
      </c>
      <c r="D246" s="68" t="s">
        <v>1394</v>
      </c>
      <c r="E246" s="68" t="s">
        <v>10</v>
      </c>
      <c r="F246" s="826">
        <v>1</v>
      </c>
      <c r="G246" s="230">
        <v>220000</v>
      </c>
      <c r="H246" s="231">
        <f t="shared" si="10"/>
        <v>220000</v>
      </c>
      <c r="I246" s="184"/>
      <c r="J246" s="155"/>
      <c r="K246" s="155"/>
      <c r="L246" s="155"/>
      <c r="M246" s="155"/>
      <c r="N246" s="155"/>
      <c r="O246" s="155"/>
      <c r="P246" s="155"/>
      <c r="Q246" s="155"/>
    </row>
    <row r="247" spans="1:17" s="115" customFormat="1" ht="18.75">
      <c r="A247" s="68" t="s">
        <v>1347</v>
      </c>
      <c r="B247" s="65" t="s">
        <v>1631</v>
      </c>
      <c r="C247" s="7">
        <v>6205</v>
      </c>
      <c r="D247" s="68" t="s">
        <v>1394</v>
      </c>
      <c r="E247" s="68" t="s">
        <v>10</v>
      </c>
      <c r="F247" s="826">
        <v>1</v>
      </c>
      <c r="G247" s="173">
        <v>240000</v>
      </c>
      <c r="H247" s="231">
        <f t="shared" si="10"/>
        <v>240000</v>
      </c>
      <c r="I247" s="184"/>
      <c r="J247" s="155"/>
      <c r="K247" s="155"/>
      <c r="L247" s="155"/>
      <c r="M247" s="155"/>
      <c r="N247" s="155"/>
      <c r="O247" s="155"/>
      <c r="P247" s="155"/>
      <c r="Q247" s="155"/>
    </row>
    <row r="248" spans="1:17" s="115" customFormat="1" ht="18.75">
      <c r="A248" s="68" t="s">
        <v>1361</v>
      </c>
      <c r="B248" s="65" t="s">
        <v>1632</v>
      </c>
      <c r="C248" s="7">
        <v>6206</v>
      </c>
      <c r="D248" s="68" t="s">
        <v>1394</v>
      </c>
      <c r="E248" s="68" t="s">
        <v>10</v>
      </c>
      <c r="F248" s="826">
        <v>2</v>
      </c>
      <c r="G248" s="173">
        <v>250000</v>
      </c>
      <c r="H248" s="231">
        <f t="shared" si="10"/>
        <v>500000</v>
      </c>
      <c r="I248" s="184"/>
      <c r="J248" s="155"/>
      <c r="K248" s="155"/>
      <c r="L248" s="155"/>
      <c r="M248" s="155"/>
      <c r="N248" s="155"/>
      <c r="O248" s="155"/>
      <c r="P248" s="155"/>
      <c r="Q248" s="155"/>
    </row>
    <row r="249" spans="1:17" s="115" customFormat="1" ht="18.75">
      <c r="A249" s="68" t="s">
        <v>1363</v>
      </c>
      <c r="B249" s="65" t="s">
        <v>1633</v>
      </c>
      <c r="C249" s="7">
        <v>6201</v>
      </c>
      <c r="D249" s="68" t="s">
        <v>1394</v>
      </c>
      <c r="E249" s="68" t="s">
        <v>10</v>
      </c>
      <c r="F249" s="826">
        <v>2</v>
      </c>
      <c r="G249" s="173">
        <v>210000</v>
      </c>
      <c r="H249" s="231">
        <f t="shared" si="10"/>
        <v>420000</v>
      </c>
      <c r="I249" s="184"/>
      <c r="J249" s="155"/>
      <c r="K249" s="155"/>
      <c r="L249" s="155"/>
      <c r="M249" s="155"/>
      <c r="N249" s="155"/>
      <c r="O249" s="155"/>
      <c r="P249" s="155"/>
      <c r="Q249" s="155"/>
    </row>
    <row r="250" spans="1:17" s="115" customFormat="1" ht="18.75">
      <c r="A250" s="68" t="s">
        <v>1365</v>
      </c>
      <c r="B250" s="65" t="s">
        <v>1634</v>
      </c>
      <c r="C250" s="7">
        <v>6204</v>
      </c>
      <c r="D250" s="68" t="s">
        <v>1394</v>
      </c>
      <c r="E250" s="68" t="s">
        <v>10</v>
      </c>
      <c r="F250" s="826">
        <v>2</v>
      </c>
      <c r="G250" s="173">
        <v>210000</v>
      </c>
      <c r="H250" s="231">
        <f t="shared" si="10"/>
        <v>420000</v>
      </c>
      <c r="I250" s="184"/>
      <c r="J250" s="155"/>
      <c r="K250" s="155"/>
      <c r="L250" s="155"/>
      <c r="M250" s="155"/>
      <c r="N250" s="155"/>
      <c r="O250" s="155"/>
      <c r="P250" s="155"/>
      <c r="Q250" s="155"/>
    </row>
    <row r="251" spans="1:17" s="115" customFormat="1" ht="18.75">
      <c r="A251" s="68" t="s">
        <v>1367</v>
      </c>
      <c r="B251" s="65" t="s">
        <v>1635</v>
      </c>
      <c r="C251" s="7">
        <v>6206</v>
      </c>
      <c r="D251" s="68" t="s">
        <v>1394</v>
      </c>
      <c r="E251" s="68" t="s">
        <v>10</v>
      </c>
      <c r="F251" s="826">
        <v>1</v>
      </c>
      <c r="G251" s="173">
        <v>250000</v>
      </c>
      <c r="H251" s="231">
        <f t="shared" si="10"/>
        <v>250000</v>
      </c>
      <c r="I251" s="184"/>
      <c r="J251" s="155"/>
      <c r="K251" s="155"/>
      <c r="L251" s="155"/>
      <c r="M251" s="155"/>
      <c r="N251" s="155"/>
      <c r="O251" s="155"/>
      <c r="P251" s="155"/>
      <c r="Q251" s="155"/>
    </row>
    <row r="252" spans="1:17" s="115" customFormat="1" ht="18.75">
      <c r="A252" s="68" t="s">
        <v>1457</v>
      </c>
      <c r="B252" s="65" t="s">
        <v>1636</v>
      </c>
      <c r="C252" s="7">
        <v>6208</v>
      </c>
      <c r="D252" s="68" t="s">
        <v>1394</v>
      </c>
      <c r="E252" s="68" t="s">
        <v>10</v>
      </c>
      <c r="F252" s="826">
        <v>1</v>
      </c>
      <c r="G252" s="173">
        <v>260000</v>
      </c>
      <c r="H252" s="231">
        <f t="shared" si="10"/>
        <v>260000</v>
      </c>
      <c r="I252" s="184"/>
      <c r="J252" s="155"/>
      <c r="K252" s="155"/>
      <c r="L252" s="155"/>
      <c r="M252" s="155"/>
      <c r="N252" s="155"/>
      <c r="O252" s="155"/>
      <c r="P252" s="155"/>
      <c r="Q252" s="155"/>
    </row>
    <row r="253" spans="1:17" s="115" customFormat="1" ht="18.75">
      <c r="A253" s="68" t="s">
        <v>1459</v>
      </c>
      <c r="B253" s="65" t="s">
        <v>1637</v>
      </c>
      <c r="C253" s="7"/>
      <c r="D253" s="68"/>
      <c r="E253" s="68" t="s">
        <v>40</v>
      </c>
      <c r="F253" s="826">
        <v>8</v>
      </c>
      <c r="G253" s="173">
        <v>225000</v>
      </c>
      <c r="H253" s="231">
        <f t="shared" si="10"/>
        <v>1800000</v>
      </c>
      <c r="I253" s="184"/>
      <c r="J253" s="155"/>
      <c r="K253" s="155"/>
      <c r="L253" s="155"/>
      <c r="M253" s="155"/>
      <c r="N253" s="155"/>
      <c r="O253" s="155"/>
      <c r="P253" s="155"/>
      <c r="Q253" s="155"/>
    </row>
    <row r="254" spans="1:17" s="115" customFormat="1" ht="18.75">
      <c r="A254" s="68" t="s">
        <v>1461</v>
      </c>
      <c r="B254" s="65" t="s">
        <v>1611</v>
      </c>
      <c r="C254" s="7" t="s">
        <v>1612</v>
      </c>
      <c r="D254" s="68"/>
      <c r="E254" s="68" t="s">
        <v>59</v>
      </c>
      <c r="F254" s="826">
        <v>1</v>
      </c>
      <c r="G254" s="173">
        <v>468000</v>
      </c>
      <c r="H254" s="231">
        <f t="shared" si="10"/>
        <v>468000</v>
      </c>
      <c r="I254" s="184"/>
      <c r="J254" s="155"/>
      <c r="K254" s="155"/>
      <c r="L254" s="155"/>
      <c r="M254" s="155"/>
      <c r="N254" s="155"/>
      <c r="O254" s="155"/>
      <c r="P254" s="155"/>
      <c r="Q254" s="155"/>
    </row>
    <row r="255" spans="1:17" s="115" customFormat="1" ht="18.75">
      <c r="A255" s="68" t="s">
        <v>1463</v>
      </c>
      <c r="B255" s="65" t="s">
        <v>1638</v>
      </c>
      <c r="C255" s="7" t="s">
        <v>285</v>
      </c>
      <c r="D255" s="68"/>
      <c r="E255" s="68" t="s">
        <v>10</v>
      </c>
      <c r="F255" s="826">
        <v>5</v>
      </c>
      <c r="G255" s="173">
        <v>9000</v>
      </c>
      <c r="H255" s="231">
        <f t="shared" si="10"/>
        <v>45000</v>
      </c>
      <c r="I255" s="184"/>
      <c r="J255" s="155"/>
      <c r="K255" s="155"/>
      <c r="L255" s="155"/>
      <c r="M255" s="155"/>
      <c r="N255" s="155"/>
      <c r="O255" s="155"/>
      <c r="P255" s="155"/>
      <c r="Q255" s="155"/>
    </row>
    <row r="256" spans="1:17" s="115" customFormat="1" ht="18.75">
      <c r="A256" s="68" t="s">
        <v>1465</v>
      </c>
      <c r="B256" s="65" t="s">
        <v>1639</v>
      </c>
      <c r="C256" s="7"/>
      <c r="D256" s="68"/>
      <c r="E256" s="68" t="s">
        <v>40</v>
      </c>
      <c r="F256" s="826">
        <v>5</v>
      </c>
      <c r="G256" s="173">
        <v>98500</v>
      </c>
      <c r="H256" s="231">
        <f t="shared" si="10"/>
        <v>492500</v>
      </c>
      <c r="I256" s="184"/>
      <c r="J256" s="155"/>
      <c r="K256" s="155"/>
      <c r="L256" s="155"/>
      <c r="M256" s="155"/>
      <c r="N256" s="155"/>
      <c r="O256" s="155"/>
      <c r="P256" s="155"/>
      <c r="Q256" s="155"/>
    </row>
    <row r="257" spans="1:17" s="115" customFormat="1" ht="18.75">
      <c r="A257" s="68" t="s">
        <v>1467</v>
      </c>
      <c r="B257" s="65" t="s">
        <v>1640</v>
      </c>
      <c r="C257" s="7" t="s">
        <v>1641</v>
      </c>
      <c r="D257" s="68"/>
      <c r="E257" s="68" t="s">
        <v>32</v>
      </c>
      <c r="F257" s="826">
        <v>20</v>
      </c>
      <c r="G257" s="173">
        <v>9500</v>
      </c>
      <c r="H257" s="231">
        <f t="shared" si="10"/>
        <v>190000</v>
      </c>
      <c r="I257" s="184"/>
      <c r="J257" s="155"/>
      <c r="K257" s="155"/>
      <c r="L257" s="155"/>
      <c r="M257" s="155"/>
      <c r="N257" s="155"/>
      <c r="O257" s="155"/>
      <c r="P257" s="155"/>
      <c r="Q257" s="155"/>
    </row>
    <row r="258" spans="1:17" s="115" customFormat="1" ht="18.75">
      <c r="A258" s="297" t="s">
        <v>302</v>
      </c>
      <c r="B258" s="141" t="s">
        <v>1642</v>
      </c>
      <c r="C258" s="141"/>
      <c r="D258" s="141"/>
      <c r="E258" s="141"/>
      <c r="F258" s="141"/>
      <c r="G258" s="146"/>
      <c r="H258" s="298">
        <f>+SUM(H259:H259)</f>
        <v>15750000</v>
      </c>
      <c r="I258" s="299"/>
      <c r="J258" s="155"/>
      <c r="K258" s="155"/>
      <c r="L258" s="155"/>
      <c r="M258" s="155"/>
      <c r="N258" s="155"/>
      <c r="O258" s="155"/>
      <c r="P258" s="155"/>
      <c r="Q258" s="155"/>
    </row>
    <row r="259" spans="1:17" s="115" customFormat="1" ht="18.75">
      <c r="A259" s="74">
        <v>1</v>
      </c>
      <c r="B259" s="300" t="s">
        <v>1643</v>
      </c>
      <c r="C259" s="142"/>
      <c r="D259" s="301" t="s">
        <v>39</v>
      </c>
      <c r="E259" s="302" t="s">
        <v>189</v>
      </c>
      <c r="F259" s="843">
        <v>18</v>
      </c>
      <c r="G259" s="303">
        <v>875000</v>
      </c>
      <c r="H259" s="303">
        <f>+G259*F259</f>
        <v>15750000</v>
      </c>
      <c r="I259" s="304"/>
      <c r="J259" s="155"/>
      <c r="K259" s="155"/>
      <c r="L259" s="155"/>
      <c r="M259" s="155">
        <f>0.8%*500000000</f>
        <v>4000000</v>
      </c>
      <c r="N259" s="155"/>
      <c r="O259" s="155"/>
      <c r="P259" s="155"/>
      <c r="Q259" s="155"/>
    </row>
    <row r="260" spans="1:17" s="115" customFormat="1" ht="67.150000000000006" hidden="1" customHeight="1">
      <c r="A260" s="297" t="s">
        <v>400</v>
      </c>
      <c r="B260" s="141" t="s">
        <v>1644</v>
      </c>
      <c r="C260" s="141"/>
      <c r="D260" s="141"/>
      <c r="E260" s="141"/>
      <c r="F260" s="141"/>
      <c r="G260" s="146"/>
      <c r="H260" s="146" t="e">
        <f>+H258+H81+#REF!</f>
        <v>#REF!</v>
      </c>
      <c r="I260" s="299"/>
      <c r="J260" s="155">
        <v>-70227000</v>
      </c>
      <c r="K260" s="305" t="e">
        <f>H260+J260</f>
        <v>#REF!</v>
      </c>
      <c r="L260" s="155"/>
      <c r="M260" s="155"/>
      <c r="N260" s="155"/>
      <c r="O260" s="155"/>
      <c r="P260" s="155"/>
      <c r="Q260" s="155"/>
    </row>
  </sheetData>
  <mergeCells count="7">
    <mergeCell ref="J101:Q101"/>
    <mergeCell ref="A1:B1"/>
    <mergeCell ref="A2:B2"/>
    <mergeCell ref="A4:F4"/>
    <mergeCell ref="A5:F5"/>
    <mergeCell ref="A6:F6"/>
    <mergeCell ref="A7:F7"/>
  </mergeCells>
  <pageMargins left="0.64" right="0.35" top="0.43" bottom="0.51"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HQ11-01-16</vt:lpstr>
      <vt:lpstr>HQ11-99-56</vt:lpstr>
      <vt:lpstr>HQ11-91-66</vt:lpstr>
      <vt:lpstr>HQ11-91-86</vt:lpstr>
      <vt:lpstr>HQ11-91-96</vt:lpstr>
      <vt:lpstr>HQ11-91-63</vt:lpstr>
      <vt:lpstr>HQ11-91-87</vt:lpstr>
      <vt:lpstr>HQ11-91-60</vt:lpstr>
      <vt:lpstr>HQ11-91-61</vt:lpstr>
      <vt:lpstr>'HQ11-01-16'!Print_Area</vt:lpstr>
      <vt:lpstr>'HQ11-91-60'!Print_Area</vt:lpstr>
      <vt:lpstr>'HQ11-91-66'!Print_Area</vt:lpstr>
      <vt:lpstr>'HQ11-91-86'!Print_Area</vt:lpstr>
      <vt:lpstr>'HQ11-99-56'!Print_Area</vt:lpstr>
      <vt:lpstr>'HQ11-01-16'!Print_Titles</vt:lpstr>
      <vt:lpstr>'HQ11-99-56'!Print_Titles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2024-07-23T09:21:53Z</dcterms:modified>
</cp:coreProperties>
</file>